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02\sistemas\Ronald\2020\04 PCM\Datos Abiertos\DSR - 27-10-2020\Registro Hidrocarburos\03. Establecimientos VP de CL y GLP\"/>
    </mc:Choice>
  </mc:AlternateContent>
  <bookViews>
    <workbookView xWindow="0" yWindow="0" windowWidth="20633" windowHeight="7039"/>
  </bookViews>
  <sheets>
    <sheet name="GrifosFlotantes" sheetId="1" r:id="rId1"/>
  </sheets>
  <calcPr calcId="162913"/>
</workbook>
</file>

<file path=xl/calcChain.xml><?xml version="1.0" encoding="utf-8"?>
<calcChain xmlns="http://schemas.openxmlformats.org/spreadsheetml/2006/main">
  <c r="C138" i="1" l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<sst xmlns="http://schemas.openxmlformats.org/spreadsheetml/2006/main" count="1748" uniqueCount="759">
  <si>
    <t>No</t>
  </si>
  <si>
    <t>EXPEDIENTE</t>
  </si>
  <si>
    <t>CODIGO OSINERGMIN</t>
  </si>
  <si>
    <t>REGISTRO</t>
  </si>
  <si>
    <t>RUC</t>
  </si>
  <si>
    <t>RAZON SOCIAL</t>
  </si>
  <si>
    <t>DIRECCION OPERATIVA</t>
  </si>
  <si>
    <t>DEPARTAMENTO</t>
  </si>
  <si>
    <t>PROVINCIA</t>
  </si>
  <si>
    <t>DISTRITO</t>
  </si>
  <si>
    <t>TIPO DE ESTABLECIMIENTO</t>
  </si>
  <si>
    <t>TANQUE 1</t>
  </si>
  <si>
    <t>TANQUE 2</t>
  </si>
  <si>
    <t>TANQUE 3</t>
  </si>
  <si>
    <t>TANQUE 4</t>
  </si>
  <si>
    <t>TANQUE 5</t>
  </si>
  <si>
    <t>TANQUE 6</t>
  </si>
  <si>
    <t>TANQUE 7</t>
  </si>
  <si>
    <t>TANQUE 8</t>
  </si>
  <si>
    <t>TANQUE 9</t>
  </si>
  <si>
    <t>TANQUE 10</t>
  </si>
  <si>
    <t>TANQUE 11</t>
  </si>
  <si>
    <t>TANQUE 12</t>
  </si>
  <si>
    <t>CAP.TOTAL CL (gln)</t>
  </si>
  <si>
    <t>FEC. EMISION</t>
  </si>
  <si>
    <t>TÉRMINO DE VIGENCIA</t>
  </si>
  <si>
    <t>REPRESENTANTE</t>
  </si>
  <si>
    <t>125483-058-050417</t>
  </si>
  <si>
    <t>MULTISERVICIOS VILLALOBOS E.I.R.L.</t>
  </si>
  <si>
    <t>MARGEN DERECHA DEL RIO YAVARI - EN EL POBLADO DE ISLANDIA</t>
  </si>
  <si>
    <t>LORETO</t>
  </si>
  <si>
    <t>MARISCAL RAMON CASTILLA</t>
  </si>
  <si>
    <t>YAVARI</t>
  </si>
  <si>
    <t>GRIFOS FLOTANTES</t>
  </si>
  <si>
    <t>C1:5000:DIESEL B5 </t>
  </si>
  <si>
    <t>C1:10000:GASOLINA 84 </t>
  </si>
  <si>
    <t>INDEFINIDO</t>
  </si>
  <si>
    <t>RICARDO VILLALOBOS VEGA</t>
  </si>
  <si>
    <t>0004-GRFL-16-2001</t>
  </si>
  <si>
    <t>INVERSIONES GENERALES S.A. - IGSA III</t>
  </si>
  <si>
    <t>PUERTO MASUSA - MARGEN IZQUIERDA DEL RIO AMAZONAS</t>
  </si>
  <si>
    <t>MAYNAS</t>
  </si>
  <si>
    <t>PUNCHANA</t>
  </si>
  <si>
    <t>C1:3200:GASOLINAS PARA USO AUTOMOTOR </t>
  </si>
  <si>
    <t>C1:3200:SIN PRODUCTO C2:3200:SIN PRODUCTO C3:3200:SIN PRODUCTO </t>
  </si>
  <si>
    <t>C1:3200:DIESEL 2 C2:3200:DIESEL 2 </t>
  </si>
  <si>
    <t>SINACAY BARDALES, ANTONIO</t>
  </si>
  <si>
    <t>99250-058-070915</t>
  </si>
  <si>
    <t>GRIFO FLOTANTE ROSITA S.A.C</t>
  </si>
  <si>
    <t>MARGEN DERECHA DEL RIO AMAZONAS – LOCALIDAD ISLA SANTA ROSA.</t>
  </si>
  <si>
    <t>C1:4500:GASOLINA 84 </t>
  </si>
  <si>
    <t>C1:3500:GASOLINA 84 </t>
  </si>
  <si>
    <t>C1:1500:GASOLINA 84 </t>
  </si>
  <si>
    <t>C1:1500:DIESEL B5 </t>
  </si>
  <si>
    <t>PATRICIA KRISS SANDI ESTRADA</t>
  </si>
  <si>
    <t>95029-058-230315</t>
  </si>
  <si>
    <t>NEGOCIACIONES CORPORATIVAS MELINA E.I.R.L.</t>
  </si>
  <si>
    <t>MARGEN DERECHA DEL RIO ITAYA-REFERENCIA DE LA ISLA IQUITOS FRENTE AL EMBARCADERO DEL PUERTO DE MASUSA</t>
  </si>
  <si>
    <t>C1:5000:GASOLINA 84 </t>
  </si>
  <si>
    <t>C1:2500:GASOLINA 84 </t>
  </si>
  <si>
    <t>C1:2500:GASOLINA 90 </t>
  </si>
  <si>
    <t>LIBIA FLORIPES CORDOVA RAMIREZ</t>
  </si>
  <si>
    <t>83571-058-030520</t>
  </si>
  <si>
    <t>GRIFOS STL S.R.L.</t>
  </si>
  <si>
    <t>BAHIA DE PAITA</t>
  </si>
  <si>
    <t>PIURA</t>
  </si>
  <si>
    <t>PAITA</t>
  </si>
  <si>
    <t>C1:13800:Diesel B5 S-50 </t>
  </si>
  <si>
    <t>TASSARA NUÑEZ ALESSANDRO</t>
  </si>
  <si>
    <t>116052-058-080317</t>
  </si>
  <si>
    <t>JUANA HURTADO CAMPO</t>
  </si>
  <si>
    <t>MARGEN DERECHA DEL RÍO MADRE DE DIOS (SECTOR PUERTO LA PASTORA)</t>
  </si>
  <si>
    <t>MADRE DE DIOS</t>
  </si>
  <si>
    <t>TAMBOPATA</t>
  </si>
  <si>
    <t>C1:8200:GASOLINA 84 </t>
  </si>
  <si>
    <t>C1:8200:Diesel B5 S-50 </t>
  </si>
  <si>
    <t>HURTADO CAMPO JUANA</t>
  </si>
  <si>
    <t>135730-058-200418</t>
  </si>
  <si>
    <t xml:space="preserve">WALKER ESPINOZA SORIA </t>
  </si>
  <si>
    <t xml:space="preserve">MARGEN DERECHO DEL RIO UCAYALI </t>
  </si>
  <si>
    <t>UCAYALI</t>
  </si>
  <si>
    <t>CORONEL PORTILLO</t>
  </si>
  <si>
    <t>CALLERIA</t>
  </si>
  <si>
    <t>C1:5020:DIESEL B5 </t>
  </si>
  <si>
    <t>C1:6015:GASOLINA 90 </t>
  </si>
  <si>
    <t>C1:5015:DIESEL B5 </t>
  </si>
  <si>
    <t>C1:7150:GASOLINA 90 </t>
  </si>
  <si>
    <t>132539-058-210119</t>
  </si>
  <si>
    <t>NEGOCIOS EJLR COMBUSTIBLES E.I.R.L.</t>
  </si>
  <si>
    <t>MARGEN IZQUIERDA DEL RÍO MARAÑÓN EN LA LOCALIDAD DE PUERTO ORLANDO</t>
  </si>
  <si>
    <t>NAUTA</t>
  </si>
  <si>
    <t>C1:6000:DIESEL B5 </t>
  </si>
  <si>
    <t>C1:6000:GASOLINA 84 </t>
  </si>
  <si>
    <t>EDWIN LINARES ROJAS</t>
  </si>
  <si>
    <t>133040-058-011217</t>
  </si>
  <si>
    <t>RENATTO MARTIN MESIA CARDAMA</t>
  </si>
  <si>
    <t>MARGEN IZQUIERDA DEL RÍO MARAÑON</t>
  </si>
  <si>
    <t>C1:1640:GASOLINA 84 </t>
  </si>
  <si>
    <t>C1:1640:DIESEL B5 </t>
  </si>
  <si>
    <t>95758-058-130312</t>
  </si>
  <si>
    <t>INVERSIONES PERU COMBUSTIBLES S.A.</t>
  </si>
  <si>
    <t>MARGEN IZQUIERDA DEL RIO MARAÑON - REFERENCI MALECON BUENOS AIRES CON CALLE AMAZONAS</t>
  </si>
  <si>
    <t>C1:8153:GASOLINA 84 </t>
  </si>
  <si>
    <t>C1:21512:DIESEL B5 </t>
  </si>
  <si>
    <t>C1:7807:DIESEL B5 </t>
  </si>
  <si>
    <t>CARLOS ANTONIO SARMIENTO FLORES</t>
  </si>
  <si>
    <t>132867-058-201117</t>
  </si>
  <si>
    <t>MARGEN DERECHA DEL RIO MADRE DE DIOS</t>
  </si>
  <si>
    <t>LABERINTO</t>
  </si>
  <si>
    <t>C1:4100:GASOLINA 84 C2:4100:GASOLINA 84 </t>
  </si>
  <si>
    <t>35137-058-220519</t>
  </si>
  <si>
    <t xml:space="preserve">FLORINDA CORDOVA DIEGO </t>
  </si>
  <si>
    <t>PUERTO MALECON GRAU. COORDENADAS GEOGRAFICAS: 08°22´57.50" LS, 74°31´32.26" LW</t>
  </si>
  <si>
    <t>C1:3000:DIESEL B5 </t>
  </si>
  <si>
    <t>C1:3000:GASOLINA 90 </t>
  </si>
  <si>
    <t>115842-058-180915</t>
  </si>
  <si>
    <t>MOTOMAQ S.A.C.</t>
  </si>
  <si>
    <t>MARGEN DERECHA DEL RIO ITAYA (REFERENCIA FRENTE AL EMBARCADERO TURÍSTICO “EL HUEQUITO”)</t>
  </si>
  <si>
    <t>IQUITOS</t>
  </si>
  <si>
    <t>C1:29000:DIESEL B5 </t>
  </si>
  <si>
    <t>C1:34000:DIESEL B5 </t>
  </si>
  <si>
    <t>C1:15000:DIESEL B5 </t>
  </si>
  <si>
    <t>EVELYN SIDEMA GABRIEL ESPINOZA</t>
  </si>
  <si>
    <t>18547-058-120419</t>
  </si>
  <si>
    <t>PETROLEOS FLUVIALES E.I.R.L.</t>
  </si>
  <si>
    <t>MALECON PUERTO LA HOYADA - RIO UCAYALI</t>
  </si>
  <si>
    <t>C1:5250:DIESEL B5 </t>
  </si>
  <si>
    <t>C1:5250:GASOLINA 90 </t>
  </si>
  <si>
    <t>C1:5250:GASOLINA 84 </t>
  </si>
  <si>
    <t>JOANA LOURDES VENEGAS GUILLEN</t>
  </si>
  <si>
    <t>103588-058-100119</t>
  </si>
  <si>
    <t>NERTY CHUJANDAMA IÑAPI</t>
  </si>
  <si>
    <t>MARGEN DERECHA DEL RIO ITAYA, REFERENCIA FRENTE AL PUERTO DE VENECIA DE BELEN</t>
  </si>
  <si>
    <t>BELEN</t>
  </si>
  <si>
    <t>134069-058-220118</t>
  </si>
  <si>
    <t>GRIFO FLOTANTE CESAR - NAUTA S.R.L.</t>
  </si>
  <si>
    <t>MARGEN IZQUIERDA DEL RIO MARAÑÓN, EN LA LOCALIDAD DE NAUTA</t>
  </si>
  <si>
    <t>C1:7500:GASOLINA 84 </t>
  </si>
  <si>
    <t>C1:2000:GASOLINA 90 </t>
  </si>
  <si>
    <t>C1:7500:DIESEL B5 </t>
  </si>
  <si>
    <t>CESAR RIOS CARDENAS</t>
  </si>
  <si>
    <t>132100-058-200618</t>
  </si>
  <si>
    <t>CESAR AUGUSTO VILCA HURTADO</t>
  </si>
  <si>
    <t>C1:2236:GASOLINA 84 </t>
  </si>
  <si>
    <t>C1:4532:GASOLINA 84 </t>
  </si>
  <si>
    <t>6939-058-121119</t>
  </si>
  <si>
    <t>GRUPO SILVA GARCIA DEL ORIENTE S.A.C.</t>
  </si>
  <si>
    <t>PUERTO DE LA HOYADA MARGEN IZQUIERDA DEL RIO UCAYALI</t>
  </si>
  <si>
    <t>C1:4000:GASOLINA 90 </t>
  </si>
  <si>
    <t>YASSER BASADRE SILVA LOPEZ</t>
  </si>
  <si>
    <t>129014-058-190719</t>
  </si>
  <si>
    <t>ASEMA CAMISEA S.A.C.</t>
  </si>
  <si>
    <t>MARGEN IZQUIERDA DEL RIO URUBAMBA</t>
  </si>
  <si>
    <t>CUSCO</t>
  </si>
  <si>
    <t>LA CONVENCION</t>
  </si>
  <si>
    <t>MEGANTONI</t>
  </si>
  <si>
    <t>C1:5750:Diesel B5 S-50 </t>
  </si>
  <si>
    <t>C1:5750:GASOHOL 90 PLUS </t>
  </si>
  <si>
    <t>JOSE LUIS LARENAS NIERI</t>
  </si>
  <si>
    <t>104606-058-101113</t>
  </si>
  <si>
    <t>MULTISERVICIOS EL CHAMBERITO S.R.L.</t>
  </si>
  <si>
    <t>MARGEN DERECHA DEL RÍO HUALLAGA; REFERENCIA EN LA LOCALIDAD DE LAGUNAS</t>
  </si>
  <si>
    <t>ALTO AMAZONAS</t>
  </si>
  <si>
    <t>LAGUNAS</t>
  </si>
  <si>
    <t>ADELINO RIVERA PEREZ</t>
  </si>
  <si>
    <t>0002-GRFL-16-2008</t>
  </si>
  <si>
    <t>GRIFOS ACROLIM SRL</t>
  </si>
  <si>
    <t>MARGEN DERECHA DEL RIO NAPO</t>
  </si>
  <si>
    <t>MAZAN</t>
  </si>
  <si>
    <t>C1:1724:SIN PRODUCTO C2:1724:SIN PRODUCTO C3:1724:SIN PRODUCTO </t>
  </si>
  <si>
    <t>C1:3448:DIESEL 2 C2:3448:DIESEL 2 </t>
  </si>
  <si>
    <t>C1:3549:GASOLINA 84 </t>
  </si>
  <si>
    <t>ARMAS PEREZ, CESAR AUGUSTO</t>
  </si>
  <si>
    <t>97083-058-301116</t>
  </si>
  <si>
    <t>GRIFOS MARCIO OSMAR S.A.C.</t>
  </si>
  <si>
    <t>MARGEN DERECHA DEL RIO ITAYA – REFERENCIA CALLE PABLO ROSELL CON CALLE REQUENA</t>
  </si>
  <si>
    <t>C1:3000:GASOLINA 84 </t>
  </si>
  <si>
    <t>CINDY SHIRLEY CESPEDES BERNUY</t>
  </si>
  <si>
    <t>146648-058-161019</t>
  </si>
  <si>
    <t>NEGOCIACIONES JESSMARA E.I.R.L.</t>
  </si>
  <si>
    <t>MARGEN IZQUIERDA DEL RÍO MARAÑÓN - DISTRITO DE NAUTA</t>
  </si>
  <si>
    <t>C1:17500:GASOLINA 84 </t>
  </si>
  <si>
    <t>C1:17500:GASOLINA 90 </t>
  </si>
  <si>
    <t>C1:17500:DIESEL B5 </t>
  </si>
  <si>
    <t>MANUEL EDUARDO RAMIREZ KANO</t>
  </si>
  <si>
    <t>132249-058-141017</t>
  </si>
  <si>
    <t>GRIFO FLOTANTE LIBRA E.I.R.L.</t>
  </si>
  <si>
    <t>MARGEN DERECHA DEL RIO AMAZONAS, REFERENCIA EN EL POBLADO ISLA SANTA ROSA</t>
  </si>
  <si>
    <t>C1:4600:DIESEL B5 </t>
  </si>
  <si>
    <t>C1:4600:GASOLINA 84 </t>
  </si>
  <si>
    <t>RUDY DANY VELASCO CERRON</t>
  </si>
  <si>
    <t>125478-058-190417</t>
  </si>
  <si>
    <t>ALDO CHANCHARI ISUIZA</t>
  </si>
  <si>
    <t>MARGEN IZQUIERDA DEL RIO MARAÑON</t>
  </si>
  <si>
    <t>DATEM DEL MARAÑON</t>
  </si>
  <si>
    <t>BARRANCA</t>
  </si>
  <si>
    <t>16719-058-150813</t>
  </si>
  <si>
    <t>INVERSIONES Y COMBUSTIBLES BELLAVISTA E.I.R.L.</t>
  </si>
  <si>
    <t>MARGEN DERECHO DEL RIO NANAY</t>
  </si>
  <si>
    <t>C1:2500:DIESEL B5 </t>
  </si>
  <si>
    <t>C1:1000:SIN PRODUCTO </t>
  </si>
  <si>
    <t>AGUSTIN ALEJANDRO DIAZ DA CRUZ</t>
  </si>
  <si>
    <t>138693-058-210918</t>
  </si>
  <si>
    <t>MARGEN DERECHA DEL LAGO CABALLOCOCHA, EN EL POBLADO DE SAN MARTIN</t>
  </si>
  <si>
    <t>RAMON CASTILLA</t>
  </si>
  <si>
    <t>20985-058-210611</t>
  </si>
  <si>
    <t>PUERTO DE LAO, MARGEN IZQUIERDA DEL RIO AMAZONAS: LAT. 03° 44' 23.48'' S LONG. 073° 14' 26.47'' W</t>
  </si>
  <si>
    <t>C1:5000:GASOLINA 90 </t>
  </si>
  <si>
    <t>JESSICA MARIBEL RAMIREZ ARCE</t>
  </si>
  <si>
    <t>135092-058-210318</t>
  </si>
  <si>
    <t>GRIFO FLOTANTE CESAR - INDIANA S.R.L.</t>
  </si>
  <si>
    <t>MARGEN IZQUIERDA DEL RIO AMAZONAS, EN LA LOCALIDAD DE INDIANA</t>
  </si>
  <si>
    <t>INDIANA</t>
  </si>
  <si>
    <t>C1:4850:DIESEL B5 </t>
  </si>
  <si>
    <t>C1:4850:GASOLINA 84 </t>
  </si>
  <si>
    <t xml:space="preserve">CESAR RIOS CARDENAS </t>
  </si>
  <si>
    <t>117933-058-011217</t>
  </si>
  <si>
    <t>INVERSIONES REPRESENTACIONES Y SERVICIOS H.B.S. E.I.R.L.</t>
  </si>
  <si>
    <t>MARGEN DERECHA DEL RIO ITAYA</t>
  </si>
  <si>
    <t>C1:4855:DIESEL B5 </t>
  </si>
  <si>
    <t>C1:4855:GASOLINA 84 </t>
  </si>
  <si>
    <t>JUAN CARLOS TAMANI MACUYAMA</t>
  </si>
  <si>
    <t>135826-058-180918</t>
  </si>
  <si>
    <t>ACUA DIESEL E.I.R.L.</t>
  </si>
  <si>
    <t>C1:3000:Diesel B5 S-50 C2:3000:Diesel B5 S-50 C3:3000:Diesel B5 S-50 C4:3000:Diesel B5 S-50 </t>
  </si>
  <si>
    <t>GUZMAN AMAYO ROBERTO</t>
  </si>
  <si>
    <t>128337-058-210119</t>
  </si>
  <si>
    <t>MARGEN IZQUIERDA DEL RIO YAVARI, REFERENCIA EN LA LOCALIDAD DE ANGAMOS</t>
  </si>
  <si>
    <t>REQUENA</t>
  </si>
  <si>
    <t>YAQUERANA</t>
  </si>
  <si>
    <t>33875-058-200520</t>
  </si>
  <si>
    <t>NORPETROL S.C.R.L.</t>
  </si>
  <si>
    <t>BAHIA DE PAITA LADO IZQUIERDO FRENTE A PUERTO NUEVO</t>
  </si>
  <si>
    <t>C1:2000:Diesel B5 S-50 C2:2000:Diesel B5 S-50 C3:2000:Diesel B5 S-50 C4:2000:Diesel B5 S-50 </t>
  </si>
  <si>
    <t>LEIGH PEÑA LOURDES VIVIANA</t>
  </si>
  <si>
    <t>20986-058-090814</t>
  </si>
  <si>
    <t>DON CALIXTO INVERSIONES S.R.L.</t>
  </si>
  <si>
    <t>CALLE BOLIVAR Nº 500, PUERTO ABEL GUERRA - MARGEN IZQUIERDA DEL RIO HUALLAGA</t>
  </si>
  <si>
    <t>YURIMAGUAS</t>
  </si>
  <si>
    <t>C1:2375:DIESEL B5 C2:2375:GASOLINA 84 C3:2375:GASOLINA 84 C4:2375:DIESEL B5 </t>
  </si>
  <si>
    <t>LILIAN MERCEDES AGUILAR REATEGUI</t>
  </si>
  <si>
    <t>148964-058-010220</t>
  </si>
  <si>
    <t>CORPORACION PETROAMAZONAS S.R.L.</t>
  </si>
  <si>
    <t>MARGEN DERECHA DEL RIO MARAÑON, EN LA LOCALIDAD DE SARAMIRIZA</t>
  </si>
  <si>
    <t>MANSERICHE</t>
  </si>
  <si>
    <t>C1:5900:GASOLINA 84 </t>
  </si>
  <si>
    <t>14763-058-291019</t>
  </si>
  <si>
    <t>PEREA VDA DE RAMIREZ CARMEN DEL ROSIO</t>
  </si>
  <si>
    <t>PUERTO GARCILASO S/N - MARGEN IZQUIERDA DEL RIO HUALLAGA</t>
  </si>
  <si>
    <t>C1:1300:GASOLINA 84 </t>
  </si>
  <si>
    <t>C1:650:DIESEL B5 </t>
  </si>
  <si>
    <t>C1:650:SIN PRODUCTO </t>
  </si>
  <si>
    <t>136873-058-190618</t>
  </si>
  <si>
    <t xml:space="preserve">GRIFO FLOTANTE LIDIA ROSA E.I.R.L. </t>
  </si>
  <si>
    <t>MARGEN DERECHO DEL RIO UCAYALI</t>
  </si>
  <si>
    <t>C1:6241:DIESEL B5 </t>
  </si>
  <si>
    <t>C1:6241:GASOLINA 90 </t>
  </si>
  <si>
    <t>ROMMEL RUIZ ARBILDO</t>
  </si>
  <si>
    <t>34560-058-060620</t>
  </si>
  <si>
    <t>MOVI PETROL S.A.C.</t>
  </si>
  <si>
    <t>BAHIA DE PAITA FRENTE A PUERTO NUEVO</t>
  </si>
  <si>
    <t>C1:2550:Diesel B5 S-50 </t>
  </si>
  <si>
    <t>VICENTE ENRIQUE MARCELO LOAYZA</t>
  </si>
  <si>
    <t>122558-058-200716</t>
  </si>
  <si>
    <t>ONORATO DIAZ VILLANUEVA</t>
  </si>
  <si>
    <t>MARGEN IZQUIERDA DEL RIO HUALLAGA - REFERENCIA EN LA CIUDAD DE YURIMAGUAS</t>
  </si>
  <si>
    <t>C1:1700:DIESEL B5 </t>
  </si>
  <si>
    <t>C1:1700:GASOLINA 84 </t>
  </si>
  <si>
    <t>18848-058-160920</t>
  </si>
  <si>
    <t>COMERCIOS FLORENCIA DEL UCAYALI E.I.R.L</t>
  </si>
  <si>
    <t>MARGEN IZQUIERDA DEL RIO AMAZONAS</t>
  </si>
  <si>
    <t>C1:7132:DIESEL B5 </t>
  </si>
  <si>
    <t>C1:7132:GASOLINA 84 </t>
  </si>
  <si>
    <t>C1:3566:GASOLINA 90 C2:3566:SIN PRODUCTO </t>
  </si>
  <si>
    <t>MARCIANO RENGIFO VARGAS</t>
  </si>
  <si>
    <t>6947-058-240419</t>
  </si>
  <si>
    <t>REPRESENTACIONES DOMI S.A.C.</t>
  </si>
  <si>
    <t>MARGEN DERECHA DEL RIO UCAYALI</t>
  </si>
  <si>
    <t>C1:3851:GASOLINA 90 </t>
  </si>
  <si>
    <t>C1:3953:DIESEL B5 </t>
  </si>
  <si>
    <t>LUCY JANET QUISPE HUAMAN</t>
  </si>
  <si>
    <t>134337-058-140318</t>
  </si>
  <si>
    <t>MARGEN DERECHA DEL RIO MADRE DE DIOS - PUERTO ACOSTA</t>
  </si>
  <si>
    <t>C1:9000:GASOLINA 84 </t>
  </si>
  <si>
    <t>111841-058-050520</t>
  </si>
  <si>
    <t>INVERSIONES JOCYMAS S.A.C.</t>
  </si>
  <si>
    <t>C1:12000:Diesel B5 S-50 </t>
  </si>
  <si>
    <t xml:space="preserve">MIZRAIM YHONATHAN CRUZ ALAYO </t>
  </si>
  <si>
    <t>133861-058-060520</t>
  </si>
  <si>
    <t xml:space="preserve">PERICHE INGA CHARLES MICHAEL </t>
  </si>
  <si>
    <t>C1:1800:Diesel B5 S-50 </t>
  </si>
  <si>
    <t>C1:2400:Diesel B5 S-50 </t>
  </si>
  <si>
    <t>138180-058-130918</t>
  </si>
  <si>
    <t>NEGOCIOS E INVERSIONES EL TÉCNICO E.I.R.L.</t>
  </si>
  <si>
    <t>MARGEN DERECHA DEL RÍO ITAYA</t>
  </si>
  <si>
    <t>C1:3223:GASOLINA 84 </t>
  </si>
  <si>
    <t>C1:4029:DIESEL B5 </t>
  </si>
  <si>
    <t>MARIBEL CAMIÑAS DASILVA</t>
  </si>
  <si>
    <t>91597-058-160511</t>
  </si>
  <si>
    <t>JORGE RAMOS CASTILLO</t>
  </si>
  <si>
    <t>MARGEN IZQUIERDA DEL RIO MARAÑON, ALTURA DE LA CALLE AYACUCHO, MALECON BUENOS AIRES</t>
  </si>
  <si>
    <t>117106-058-110520</t>
  </si>
  <si>
    <t>SERVICIOS DIESEL EXPRESS E.I.R.L.</t>
  </si>
  <si>
    <t>C1:1666.66:Diesel B5 S-50 C2:1666.66:Diesel B5 S-50 C3:1666.66:Diesel B5 S-50 C4:1666.66:Diesel B5 S-50 C5:1666.66:Diesel B5 S-50 C6:1666.66:Diesel B5 S-50 </t>
  </si>
  <si>
    <t>PRAXIDES CORDOVA CORDOVA.</t>
  </si>
  <si>
    <t>113061-058-241115</t>
  </si>
  <si>
    <t>MATILDE USHIÑAHUA VASQUEZ</t>
  </si>
  <si>
    <t>MARGEN DERECHA DEL RIO YAVARI</t>
  </si>
  <si>
    <t>C1:14055:GASOLINA 84 </t>
  </si>
  <si>
    <t>C1:6658:GASOLINA 84 </t>
  </si>
  <si>
    <t>C1:6658:DIESEL B5 </t>
  </si>
  <si>
    <t>107589-058-220219</t>
  </si>
  <si>
    <t>NEGOCIACIONES CONTAMANA S.A.C.</t>
  </si>
  <si>
    <t>MARGEN DERECHA DEL RIO UCAYALI , REFERENCIA EN LA LOCALIDAD DE CONTAMANA</t>
  </si>
  <si>
    <t>CONTAMANA</t>
  </si>
  <si>
    <t>121811-058-280219</t>
  </si>
  <si>
    <t>CORPORACION PETROLERA TRANSMARINE S.A.C.</t>
  </si>
  <si>
    <t>BAHIA DEL CALLAO</t>
  </si>
  <si>
    <t>PROV. CONST. DEL CALLAO</t>
  </si>
  <si>
    <t>CALLAO</t>
  </si>
  <si>
    <t>C1:0:DIESEL B5,DIESEL MARINO N° 2,Diesel B5 S-50 </t>
  </si>
  <si>
    <t>C1:11500:DIESEL B5,DIESEL MARINO N° 2,Diesel B5 S-50 </t>
  </si>
  <si>
    <t>C1:7407:DIESEL B5,DIESEL MARINO N° 2,Diesel B5 S-50 </t>
  </si>
  <si>
    <t>HINOSTROZA APONTE ALDO</t>
  </si>
  <si>
    <t>108214-058-311218</t>
  </si>
  <si>
    <t>MARGEN IZQUIERDA DEL RÍO NANAY</t>
  </si>
  <si>
    <t>C1:10403:GASOLINA 84 </t>
  </si>
  <si>
    <t>C1:10403:DIESEL B5 </t>
  </si>
  <si>
    <t xml:space="preserve">ANTEMIO CARRANZA ANGULO </t>
  </si>
  <si>
    <t>119783-058-141219</t>
  </si>
  <si>
    <t>CORPORACION VASQUEZ E HIJOS S.A.C.</t>
  </si>
  <si>
    <t>MARGEN DERECHA DEL RIO AMAZONAS - LOCALIDAD ISLA SANTA ROSA</t>
  </si>
  <si>
    <t>CINDY MILUSKA VASQUEZ QUESADA</t>
  </si>
  <si>
    <t>17846-058-241117</t>
  </si>
  <si>
    <t>GRIFO FLOTANTE CESAR S.R.L.</t>
  </si>
  <si>
    <t>MARGEN DERECHA DEL RIO NANAY</t>
  </si>
  <si>
    <t>110595-058-020914</t>
  </si>
  <si>
    <t>LAGARTITO E.I.R.L.</t>
  </si>
  <si>
    <t>RIO UCAYALI FRENTE AL MALECON GRAU</t>
  </si>
  <si>
    <t>C1:3270:GASOLINA 84 </t>
  </si>
  <si>
    <t>C1:6539:GASOLINA 90 </t>
  </si>
  <si>
    <t>C1:6538:DIESEL B5 </t>
  </si>
  <si>
    <t>C1:4577:DIESEL B5 </t>
  </si>
  <si>
    <t>NINO SILVA LOPEZ</t>
  </si>
  <si>
    <t>87775-058-100418</t>
  </si>
  <si>
    <t>VELSANG COMERCIO SERVICIO CONSTRUCTOR S.A.C.</t>
  </si>
  <si>
    <t>MARGEN DERECHA DEL RIO AMAZONAS, DEL POBLADO SANTA ROSA EN LA ISLA CHINERIA</t>
  </si>
  <si>
    <t>EDWIN VELA SANGAMA</t>
  </si>
  <si>
    <t>85854-058-271020</t>
  </si>
  <si>
    <t>PENTAC INTERNATIONAL S.A.C.</t>
  </si>
  <si>
    <t>MARGEN IZQUIERDA DEL RIO UCAYALI</t>
  </si>
  <si>
    <t>DANTE IVAN CARDENAS NUÑEZ</t>
  </si>
  <si>
    <t>146976-058-091019</t>
  </si>
  <si>
    <t>NEGOCIOS Y SERVICIOS GENERALES EMERSON E.I.R.L.</t>
  </si>
  <si>
    <t xml:space="preserve">MARGER DERECHA DEL RIO MARAÑON </t>
  </si>
  <si>
    <t>JESUS LAMEC GARCIA RAMOS</t>
  </si>
  <si>
    <t>147749-058-160520</t>
  </si>
  <si>
    <t>NEGOCIOS JHOKAMI E.I.R.L.</t>
  </si>
  <si>
    <t>PLAYA VICHAYO 05°50´23.458S; 80°56´26.192</t>
  </si>
  <si>
    <t>SECHURA</t>
  </si>
  <si>
    <t>C1:5100:Diesel B5 S-50 </t>
  </si>
  <si>
    <t xml:space="preserve">VICTOR JHONNY SABA LORO </t>
  </si>
  <si>
    <t>95531-058-170316</t>
  </si>
  <si>
    <t>SERVICENTRO SAN MIGUEL EIRL</t>
  </si>
  <si>
    <t>MARGEN DERECHA DEL RIO MADRE DE DIOS FRENTE AL CENTRO POBLADO DE PUERTO ROSARIO DE LABERINTO</t>
  </si>
  <si>
    <t>C1:2000:Diesel B5 S-50 </t>
  </si>
  <si>
    <t>C1:2000:GASOLINA 84 </t>
  </si>
  <si>
    <t>AURELIANO FRANCISCO DONAIRES OROSCO</t>
  </si>
  <si>
    <t>17853-058-071118</t>
  </si>
  <si>
    <t>GRIFO FLOTANTE SATELITE S.R.L.</t>
  </si>
  <si>
    <t>PUERTO LA BOCA - MARGEN IZQUIERDA DEL RIO HUALLAGA</t>
  </si>
  <si>
    <t>C1:5030:DIESEL B5 C2:5030:GASOLINA 84 </t>
  </si>
  <si>
    <t>JORGE MIGUEL CORAL TUESTA</t>
  </si>
  <si>
    <t>131264-058-290817</t>
  </si>
  <si>
    <t>CHARLES MICHAEL PERICHE INGA</t>
  </si>
  <si>
    <t>PLAYA LAS DELICIAS BAHIA DE SECHURA</t>
  </si>
  <si>
    <t>125614-058-030720</t>
  </si>
  <si>
    <t>BAHIA DE TALARA</t>
  </si>
  <si>
    <t>TALARA</t>
  </si>
  <si>
    <t>PARIÑAS</t>
  </si>
  <si>
    <t>C1:17192.6:Diesel B5 S-50 C2:17192.6:Diesel B5 S-50 C3:18162.48:Diesel B5 S-50 C4:18162.48:Diesel B5 S-50 C5:12865.25:Diesel B5 S-50 C6:12865.25:Diesel B5 S-50 C7:7831.17:Diesel B5 S-50 C8:7831.17:Diesel B5 S-50 C9:12162:Diesel B5 S-50 C10:12162:Diesel B5 S-50 C11:12865:Diesel B5 S-50 C12:12865:Diesel B5 S-50 </t>
  </si>
  <si>
    <t>JORGE LUIS ARANA CARMELO</t>
  </si>
  <si>
    <t>95035-058-220120</t>
  </si>
  <si>
    <t>CHUMBE PINEDO IBER</t>
  </si>
  <si>
    <t>MARGEN IZQUIERDA DE RIO MARAÑON-REFERENCIA CALLE MALECON BUENOS AIRES ALTURA DE LA CUADRA 2</t>
  </si>
  <si>
    <t>C1:4500:DIESEL B5 </t>
  </si>
  <si>
    <t>C1:13500:GASOLINA 84 </t>
  </si>
  <si>
    <t>C1:3600:GASOLINA 84 </t>
  </si>
  <si>
    <t>IBER CHUMBE PINEDO</t>
  </si>
  <si>
    <t>140335-058-310719</t>
  </si>
  <si>
    <t>CONSTRUCTORA TEOLUZ E.I.R.L.</t>
  </si>
  <si>
    <t>PUERTO ATALAYA MARGEN DERECHO DEL RIO TAMBO</t>
  </si>
  <si>
    <t>ATALAYA</t>
  </si>
  <si>
    <t>RAYMONDI</t>
  </si>
  <si>
    <t>C1:2750:DIESEL B5 </t>
  </si>
  <si>
    <t>C1:2750:GASOLINA 90 </t>
  </si>
  <si>
    <t>EVA REYES ALARCON</t>
  </si>
  <si>
    <t>96260-058-020412</t>
  </si>
  <si>
    <t>CORPORACION CERON E HIJOS SAC</t>
  </si>
  <si>
    <t>MARGEN DERECHA DEL RIO NAPO LOCALIDAD DE SANTA CLOTILDE</t>
  </si>
  <si>
    <t>NAPO</t>
  </si>
  <si>
    <t>C1:1450:GASOLINA 84 </t>
  </si>
  <si>
    <t>C1:1450:DIESEL B5 </t>
  </si>
  <si>
    <t>ADRIANA JACKELINNE CERON FLORES</t>
  </si>
  <si>
    <t>140705-058-180219</t>
  </si>
  <si>
    <t>AVELINO TAPIA DIAZ</t>
  </si>
  <si>
    <t>MARGEN IZQUIERDA DEL RIO MARAÑON, LOCALIDAD DE SAN LORENZO</t>
  </si>
  <si>
    <t>C1:5350:GASOLINA 84 </t>
  </si>
  <si>
    <t>C1:5350:DIESEL B5 </t>
  </si>
  <si>
    <t>133945-058-110118</t>
  </si>
  <si>
    <t>CLEDI GARCIA ICOMENA</t>
  </si>
  <si>
    <t>MARGEN DERECHA DEL RIO NAPO, LOCALIDAD DE SANTA CLOTILDE</t>
  </si>
  <si>
    <t>C1:2850:GASOLINA 84 </t>
  </si>
  <si>
    <t>C1:2850:DIESEL B5 </t>
  </si>
  <si>
    <t>20000-058-220820</t>
  </si>
  <si>
    <t>GRIFO FLOTANTE ACOSTA E.I.R.L.</t>
  </si>
  <si>
    <t>MALECÓN SHANUSI S/N, PUERTO GARCILAZO DE LA VEGA</t>
  </si>
  <si>
    <t>C1:2000:DIESEL B5 </t>
  </si>
  <si>
    <t>JHOISON JOSE HIDALGO FLORES</t>
  </si>
  <si>
    <t>119249-058-160816</t>
  </si>
  <si>
    <t>MARGEN DERECHA DEL RIO MARAÑON – LOCALIDAD DE SARAMIRIZA</t>
  </si>
  <si>
    <t>C1:18481:GASOLINA 84 </t>
  </si>
  <si>
    <t>C1:18481:DIESEL B5 </t>
  </si>
  <si>
    <t>17855-058-080319</t>
  </si>
  <si>
    <t>INVERSIONES GENERALES S.A.</t>
  </si>
  <si>
    <t>PUERTO LAO - MARGEN IZQUIERDA DEL RIO AMAZONAS</t>
  </si>
  <si>
    <t>C1:1200:DIESEL B5 </t>
  </si>
  <si>
    <t>C1:1400:GASOLINA 90 </t>
  </si>
  <si>
    <t>C1:1400:DIESEL B5 </t>
  </si>
  <si>
    <t>C1:1900:GASOLINA 90 </t>
  </si>
  <si>
    <t>C1:1900:DIESEL B5 </t>
  </si>
  <si>
    <t>C1:1900:GASOLINA 84 </t>
  </si>
  <si>
    <t>C1:1600:GASOLINA 84 </t>
  </si>
  <si>
    <t>ANTONIO SINACAY BARDALES</t>
  </si>
  <si>
    <t>14772-058-220218</t>
  </si>
  <si>
    <t>MARGEN DERECHA DEL RIO TAPICHE</t>
  </si>
  <si>
    <t>C1:2001:GASOLINA 84 </t>
  </si>
  <si>
    <t>C1:2001:DIESEL B5 </t>
  </si>
  <si>
    <t>C1:6915:GASOLINA 84 </t>
  </si>
  <si>
    <t>122102-058-210716</t>
  </si>
  <si>
    <t>MARGEN DERECHA DEL RIO AMAZONAS - REFERENCIA EN EL POBLADO DE ISLA SANTA ROSA</t>
  </si>
  <si>
    <t>125927-058-091017</t>
  </si>
  <si>
    <t>GLENDY DAYSI DAVILA ROJAS</t>
  </si>
  <si>
    <t>MARGEN DERECHA DEL LAGO CABALLOCOCHA</t>
  </si>
  <si>
    <t>C1:909:GASOLINA 84 </t>
  </si>
  <si>
    <t>C1:923:GASOLINA 84 </t>
  </si>
  <si>
    <t>C1:1298:GASOLINA 84 </t>
  </si>
  <si>
    <t>94614-058-281114</t>
  </si>
  <si>
    <t>GRIFO FLOTANTE TITIKAKA E.I.R.L.</t>
  </si>
  <si>
    <t>MUELLE TURISTICO DE PUNO</t>
  </si>
  <si>
    <t>PUNO</t>
  </si>
  <si>
    <t>C1:1359:Diesel B5 S-50 </t>
  </si>
  <si>
    <t>C1:2156:Diesel B5 S-50 </t>
  </si>
  <si>
    <t>C1:2156:GASOHOL 84 PLUS </t>
  </si>
  <si>
    <t>NORMA GLORIA FELICIA VALDIVIA CALDERON</t>
  </si>
  <si>
    <t>91357-058-250119</t>
  </si>
  <si>
    <t>GRIFO FLOTANTE FABIO &amp; CIA S.A.C.</t>
  </si>
  <si>
    <t>MARGEN DERECHA DEL RIO AMAZONAS, LOCALIDAD DE ISLA SANTA ROSA</t>
  </si>
  <si>
    <t>135787-058-250418</t>
  </si>
  <si>
    <t>MARGEN IZQUIERDA DEL RIO MARAÑON, EN EL POBLADO DE SAN LORENZO</t>
  </si>
  <si>
    <t>107272-058-160820</t>
  </si>
  <si>
    <t>HECTOR CHANCA CHAMORRO</t>
  </si>
  <si>
    <t>MARGEN IZQUIERDA DEL RIO TAMBO</t>
  </si>
  <si>
    <t>C1:3733:DIESEL B5 </t>
  </si>
  <si>
    <t>C1:3540:GASOLINA 90 </t>
  </si>
  <si>
    <t>C1:3733:GASOLINA 90 </t>
  </si>
  <si>
    <t>141467-058-260219</t>
  </si>
  <si>
    <t>J&amp;M EMPRESA DE TRANSPORTES Y SERVICIOS GENERALES E.I.R.L</t>
  </si>
  <si>
    <t>PUERTO SEPAHUA MARGEN DERECHA DEL RIO URUBAMBA</t>
  </si>
  <si>
    <t>SEPAHUA</t>
  </si>
  <si>
    <t>C1:5100:GASOLINA 90 </t>
  </si>
  <si>
    <t>C1:2944:GASOLINA 90 </t>
  </si>
  <si>
    <t>C1:6178:GASOLINA 90 </t>
  </si>
  <si>
    <t>C1:5100:DIESEL B5 </t>
  </si>
  <si>
    <t>C1:6178:DIESEL B5 </t>
  </si>
  <si>
    <t>JUAN MACARIO RAMIREZ PILLACA</t>
  </si>
  <si>
    <t>93131-058-250414</t>
  </si>
  <si>
    <t>MULTIVENTAS SAYLENI E.I.R.L.</t>
  </si>
  <si>
    <t>MARGEN DERECHA DEL RIO MARAÑON - REFERENCIA: PUERTO DEL POBLADO DE SARAMIRIZA</t>
  </si>
  <si>
    <t>NICANOR BECERRA GARCIA</t>
  </si>
  <si>
    <t>110413-058-140819</t>
  </si>
  <si>
    <t>RAFRA SERVICIOS GENERALES S.A.C.</t>
  </si>
  <si>
    <t>MARGEN DERECHA DEL RÍO NANAY, REF. CERCA AL CLUB DE CAZA Y PESCA</t>
  </si>
  <si>
    <t>RENZO ALONSO LABARTHE ZLATAR</t>
  </si>
  <si>
    <t>95525-058-190112</t>
  </si>
  <si>
    <t>CORPORACION PETROAMAZONAS SRL</t>
  </si>
  <si>
    <t>MARGEN DERECHA DEL LAGO CABALLOCOCHA - REF: POBLADO DE CABALLOCOCHA</t>
  </si>
  <si>
    <t>89659-058-291218</t>
  </si>
  <si>
    <t>AUGUSTO CURO BENITES S.R.L.</t>
  </si>
  <si>
    <t>C1:6886:DIESEL B5 </t>
  </si>
  <si>
    <t xml:space="preserve">AUGUSTO CURO BENITES </t>
  </si>
  <si>
    <t>139832-058-271118</t>
  </si>
  <si>
    <t>ESTACIONES MARITIMAS DE COMBUSTIBLES S.A.C.</t>
  </si>
  <si>
    <t>PLAYA VICHAYO</t>
  </si>
  <si>
    <t>C1:3000:DIESEL B5 C2:3000:DIESEL B5 C3:3000:DIESEL B5 C4:3000:DIESEL B5 </t>
  </si>
  <si>
    <t>CHAVARRY MONTES CARLOS ALBERTO</t>
  </si>
  <si>
    <t>125476-058-120319</t>
  </si>
  <si>
    <t xml:space="preserve">MULTISERVICIOS GILMAN SRL </t>
  </si>
  <si>
    <t>MARGEN DERECHA DEL RIO YAVARI, REFERENCIA EN EL POBLADO DE ISLANDIA</t>
  </si>
  <si>
    <t>C1:5400:GASOLINA 84 </t>
  </si>
  <si>
    <t>C1:5400:DIESEL B5 </t>
  </si>
  <si>
    <t>INGRID MARITZA RUIZ ALVAREZ</t>
  </si>
  <si>
    <t>119176-058-280516</t>
  </si>
  <si>
    <t xml:space="preserve">SIRU COMPANY S.A.C. </t>
  </si>
  <si>
    <t xml:space="preserve">RIO BAJO URUBAMBA ASENTAMIENTO RURAL DE COLONOS DE SHINTORINI </t>
  </si>
  <si>
    <t>ECHARATE</t>
  </si>
  <si>
    <t>C1:5000:GASOHOL 90 PLUS </t>
  </si>
  <si>
    <t>C1:5000:Diesel B5 S-50 </t>
  </si>
  <si>
    <t>LUIS LOAIZA DUEÑAS</t>
  </si>
  <si>
    <t>149214-058-200720</t>
  </si>
  <si>
    <t>IMBERSIONES JJC E.I.R.L.</t>
  </si>
  <si>
    <t xml:space="preserve">MARGEN DERECHO DEL RIO URUBAMBA </t>
  </si>
  <si>
    <t>C1:2450:GASOLINA 90 </t>
  </si>
  <si>
    <t>C1:6100:GASOLINA 90 </t>
  </si>
  <si>
    <t>C1:3535:DIESEL B5 </t>
  </si>
  <si>
    <t>JOSE JOEL CASTAÑEDA SANCHEZ</t>
  </si>
  <si>
    <t>112338-058-130520</t>
  </si>
  <si>
    <t>ELMER GUSTAVO PERICHE INGA</t>
  </si>
  <si>
    <t>PUERTO RICO BAYOVAR - BAHIA LA CALETA</t>
  </si>
  <si>
    <t>C1:10840:Diesel B5 S-50 </t>
  </si>
  <si>
    <t>106761-058-181218</t>
  </si>
  <si>
    <t>PETROMAR &amp; TRANSPORTE S.A.C.</t>
  </si>
  <si>
    <t>FRENTE A LA CALETA DE PARACHIQUE (A 300 MTS AL LADO NORTE DE TERMINAL DE PARACHIQUE)</t>
  </si>
  <si>
    <t>DIOMEDES TORRES TORRES</t>
  </si>
  <si>
    <t>85673-058-301215</t>
  </si>
  <si>
    <t>JL COMBUSTIBLES E.I.R.L.</t>
  </si>
  <si>
    <t>PUERTO DE EMBARCADERO DEL POBLADO DE SAN LORENZO-MARGEN IZQUIERDA RIO MARAÑON</t>
  </si>
  <si>
    <t>C2:5000:GASOLINA 84 </t>
  </si>
  <si>
    <t>JAIME LINARES ROJAS</t>
  </si>
  <si>
    <t>9251-058-030519</t>
  </si>
  <si>
    <t>NEGOCIACIONES STEFANY E.I.R.L.</t>
  </si>
  <si>
    <t>JR. MALECON GRAU S/N – LA CALETA – MUELLE GILDEMEISTER</t>
  </si>
  <si>
    <t>ANCASH</t>
  </si>
  <si>
    <t>SANTA</t>
  </si>
  <si>
    <t>CHIMBOTE</t>
  </si>
  <si>
    <t>C1:30000:Diesel B5 S-50 </t>
  </si>
  <si>
    <t>JULIO ORLANDO LINARES VARGAS</t>
  </si>
  <si>
    <t>141445-058-250219</t>
  </si>
  <si>
    <t>COMERCIO Y MULTISERVICIOS TAYJAR E.I.R.L.</t>
  </si>
  <si>
    <t>MARGEN DERECHA DEL RIO MARRAÑON, EN LA LOCALIDAD DE SARAMIRIZA</t>
  </si>
  <si>
    <t>ENRIQUE RIVERA PEREZ</t>
  </si>
  <si>
    <t>132812-058-180619</t>
  </si>
  <si>
    <t>NEGOCIOS E&amp;G S.R.L.</t>
  </si>
  <si>
    <t>JOSE EDILBERTO ESTELA ALTAMIRANO</t>
  </si>
  <si>
    <t>119633-058-150316</t>
  </si>
  <si>
    <t>MARGEN DERECHA DEL RIO AMAZONAS, LOCALIDAD ISLA SANTA ROSA</t>
  </si>
  <si>
    <t>16745-058-210619</t>
  </si>
  <si>
    <t>INVERSIONES Y COMBUSTIBLES ORIENTE E.I.R.L.</t>
  </si>
  <si>
    <t>PUERTO MASUSA - MARGEN IZQUIERDO DEL RIO AMAZONAS</t>
  </si>
  <si>
    <t>C1:6000:SIN PRODUCTO </t>
  </si>
  <si>
    <t xml:space="preserve">RODRIGO QUIÑONEZ BARDALES </t>
  </si>
  <si>
    <t>16708-058-250219</t>
  </si>
  <si>
    <t>NEGOCIACIONES JESSMARA E.I.R.L</t>
  </si>
  <si>
    <t>C1:3300:GASOLINA 84 </t>
  </si>
  <si>
    <t>C1:8100:GASOLINA 84 </t>
  </si>
  <si>
    <t>C1:3800:DIESEL B5 </t>
  </si>
  <si>
    <t>109057-058-030520</t>
  </si>
  <si>
    <t>ESTACION DE SERVICIOS SAN JOSE S.A.C.</t>
  </si>
  <si>
    <t xml:space="preserve">GUNTER MARTIN CASTILLO GALLO </t>
  </si>
  <si>
    <t>106546-058-170715</t>
  </si>
  <si>
    <t>MARGEN IZQUIERDA DEL RÍO MARAÑÓN, REFERENCIA EN LA LOCALIDAD DE PUERTO ORLANDO</t>
  </si>
  <si>
    <t>127938-058-240920</t>
  </si>
  <si>
    <t>LUIS ENRIQUE CHAPIAMA RUIZ</t>
  </si>
  <si>
    <t>PUERTO DE SEPAHUA – MARGEN DERECHA DE RIO URUBAMBA</t>
  </si>
  <si>
    <t>C1:3200:GASOLINA 90 </t>
  </si>
  <si>
    <t>C1:4000:DIESEL B5 </t>
  </si>
  <si>
    <t>122434-058-240518</t>
  </si>
  <si>
    <t>JHONY EYNER TORRES GONZALES</t>
  </si>
  <si>
    <t>C1:4800:GASOLINA 90 </t>
  </si>
  <si>
    <t>C1:4800:DIESEL B5 </t>
  </si>
  <si>
    <t>136901-058-171118</t>
  </si>
  <si>
    <t xml:space="preserve">AURELIO ÑACARI CCANTO </t>
  </si>
  <si>
    <t>C1:3609:GASOLINA 90 </t>
  </si>
  <si>
    <t>C1:2991:GASOLINA 90 </t>
  </si>
  <si>
    <t>C1:2991:DIESEL B5 </t>
  </si>
  <si>
    <t>114607-058-010316</t>
  </si>
  <si>
    <t>INVERSIONES DOS FRONTERAS S.A.C.</t>
  </si>
  <si>
    <t>MARGEN DERECHA DEL RÍO AMAZONAS – LOCALIDAD DE SANTA ROSA</t>
  </si>
  <si>
    <t>C1:4488:GASOLINA 84 </t>
  </si>
  <si>
    <t>C1:4426:GASOLINA 84 </t>
  </si>
  <si>
    <t>C1:4130:GASOLINA 84 </t>
  </si>
  <si>
    <t>C1:4467:GASOLINA 84 </t>
  </si>
  <si>
    <t>C1:4467:DIESEL B5 </t>
  </si>
  <si>
    <t>EMERITA ROJAS AGUILAR</t>
  </si>
  <si>
    <t>140648-058-080119</t>
  </si>
  <si>
    <t>MULTISERVICIOS Y VENTAS RONALD EIRL</t>
  </si>
  <si>
    <t>MARGEN DERECHA DEL RIO YAVARI, EN LA LOCALIDAD DE ISLANDIA</t>
  </si>
  <si>
    <t>RONALD VILLALOBOS VEGA</t>
  </si>
  <si>
    <t>148914-058-040220</t>
  </si>
  <si>
    <t>MARGEN DERECHA DEL RIO NIEVA, EN LA LOCALIDAD DE SANTA MARÍA DE NIEVA</t>
  </si>
  <si>
    <t>AMAZONAS</t>
  </si>
  <si>
    <t>CONDORCANQUI</t>
  </si>
  <si>
    <t>NIEVA</t>
  </si>
  <si>
    <t>C1:10000:GASOLINA 90 </t>
  </si>
  <si>
    <t>17884-058-250920</t>
  </si>
  <si>
    <t>EL SEÑOR DEL MAR S.A.C.</t>
  </si>
  <si>
    <t>BAHIA EL FERROL, LATITUD 09°04'58" SUR LONGITUD 78°35'58" OESTE</t>
  </si>
  <si>
    <t>C1:4500:Diesel B5 S-50 </t>
  </si>
  <si>
    <t>119173-058-030516</t>
  </si>
  <si>
    <t>MARGEN DERECHA DEL RIO AMAZONAS, LOCALIDAD DE SANTA ROSA</t>
  </si>
  <si>
    <t>110929-058-181215</t>
  </si>
  <si>
    <t>WESLY GRANDEZ CARDENAS</t>
  </si>
  <si>
    <t>MARGEN IZQUIERDA RIO AGUAYTIA</t>
  </si>
  <si>
    <t>PADRE ABAD</t>
  </si>
  <si>
    <t>C1:1286:GASOLINA 90 </t>
  </si>
  <si>
    <t>C1:1236:GASOLINA 90 </t>
  </si>
  <si>
    <t>117908-058-010419</t>
  </si>
  <si>
    <t>INVERSIONES TATU S.A.C.</t>
  </si>
  <si>
    <t>MARGEN DERECHA DEL RIO ITAYA, REFERENCIA CALLE PABLO ROSSELL CON CALLE REQUENA</t>
  </si>
  <si>
    <t>C1:2600:GASOLINA 84 </t>
  </si>
  <si>
    <t>C1:2600:DIESEL B5 </t>
  </si>
  <si>
    <t>DAGOBERTO HIDALGO LOZANO</t>
  </si>
  <si>
    <t>141718-058-060319</t>
  </si>
  <si>
    <t>MARGEN DERECHA DEL RIO PUTUMAYO</t>
  </si>
  <si>
    <t>PUTUMAYO</t>
  </si>
  <si>
    <t>C1:3223:DIESEL B5 </t>
  </si>
  <si>
    <t>C1:4029:GASOLINA 84 </t>
  </si>
  <si>
    <t>CINDY MILUSKA VASQUEZ QUEZADA</t>
  </si>
  <si>
    <t>0003-GRFL-16-2010</t>
  </si>
  <si>
    <t>C1:5000:DIESEL B2 C2:5000:DIESEL B2 C3:5000:DIESEL B2 C4:5000:DIESEL B2 </t>
  </si>
  <si>
    <t>C1:5000:DIESEL B2 C2:5000:DIESEL B2 C3:5000:DIESEL B2 </t>
  </si>
  <si>
    <t>C1:5000:GASOHOL 84 PLUS C2:5000:GASOHOL 84 PLUS </t>
  </si>
  <si>
    <t>RIVERA PEREZ, ADELINO</t>
  </si>
  <si>
    <t>108274-058-021019</t>
  </si>
  <si>
    <t>INVERSIONES Y REPRESENTACIONES ROMA E.I.R.L.</t>
  </si>
  <si>
    <t>C1:6539:GASOLINA 84 </t>
  </si>
  <si>
    <t>C1:6539:DIESEL B5 </t>
  </si>
  <si>
    <t>ROBERT AUGUSTO ORTIZ AREVALO</t>
  </si>
  <si>
    <t>121566-058-251016</t>
  </si>
  <si>
    <t>FRANK EDISON SOPLIN RODRIGUEZ</t>
  </si>
  <si>
    <t>MARGEN IZQUIERDA DE LA QUEBRADA CAMANA</t>
  </si>
  <si>
    <t>C1:13125:GASOLINA 84 </t>
  </si>
  <si>
    <t>C1:9625:GASOLINA 84 </t>
  </si>
  <si>
    <t>C1:3500:DIESEL B5 </t>
  </si>
  <si>
    <t>84794-058-290316</t>
  </si>
  <si>
    <t>GRIFO ROMEL S.R.L.</t>
  </si>
  <si>
    <t>MARGEN DERECHA DEL RIO NANAY, BALNEARIO BELLAVISTA NANAY</t>
  </si>
  <si>
    <t>C1:7603:GASOLINA 84 </t>
  </si>
  <si>
    <t>C1:1508:GASOLINA 90 </t>
  </si>
  <si>
    <t>C1:7603:DIESEL B5 </t>
  </si>
  <si>
    <t>MARIA TERESA ORDOÑEZ PAREDES</t>
  </si>
  <si>
    <t>129343-058-240717</t>
  </si>
  <si>
    <t>SERVICENTRO SAN MIGUEL II E.I.R.L.</t>
  </si>
  <si>
    <t>MARGEN DERECHA DEL RIO MADRE DE DIOS, PUERTO CAPITANIA</t>
  </si>
  <si>
    <t>C1:2342:GASOLINA 90 </t>
  </si>
  <si>
    <t>C1:4417:GASOLINA 84 </t>
  </si>
  <si>
    <t>C1:4417:GASOHOL 84 PLUS </t>
  </si>
  <si>
    <t>OSCAR KEOPS DONAYRES ESPIRILLA</t>
  </si>
  <si>
    <t>134299-058-050218</t>
  </si>
  <si>
    <t>MARGEN DERECHA DEL LAGO CABALLOCOCHA, EN EL POBLADO DE SAN MARTÍN</t>
  </si>
  <si>
    <t>92333-058-240611</t>
  </si>
  <si>
    <t>JANETH COSTA GUERRA DE OBANDO</t>
  </si>
  <si>
    <t>MALECON BUENOS AIRES MARGEN IZQUIERDA DEL RIO MARAÑON, ENTRADA POR LA CALLE MANUEL PACAYA</t>
  </si>
  <si>
    <t>C1:5190:GASOLINA 84 </t>
  </si>
  <si>
    <t>C1:9490:GASOLINA 84 </t>
  </si>
  <si>
    <t>C1:5190:DIESEL B5 </t>
  </si>
  <si>
    <t>34161-058-051119</t>
  </si>
  <si>
    <t>MULTISERVICIOS DON ENRIQUE E.I.R.L.</t>
  </si>
  <si>
    <t>MARGEN DERECHA DEL RIO ITAYA - CASERIO SAN JOSE</t>
  </si>
  <si>
    <t>C1:2853:GASOLINA 84 </t>
  </si>
  <si>
    <t>C1:1426:DIESEL B5 </t>
  </si>
  <si>
    <t>HECTOR ENRIQUE CESPEDES BERNUY</t>
  </si>
  <si>
    <t>31667-058-270820</t>
  </si>
  <si>
    <t xml:space="preserve">GRIFO FLOTANTE MARIA EUGENIA E.I.R.L. </t>
  </si>
  <si>
    <t>PUERTO BELLAVISTA, MARGEN DERECHA DEL RIO NANAY</t>
  </si>
  <si>
    <t>C1:2696.5:SIN PRODUCTO </t>
  </si>
  <si>
    <t>C1:5558:DIESEL B5 </t>
  </si>
  <si>
    <t>C1:4617.5:GASOLINA 90 </t>
  </si>
  <si>
    <t>C1:4617.5:GASOLINA 84 </t>
  </si>
  <si>
    <t>VICTOR RAUL LLOCCE ALMINAGORDA</t>
  </si>
  <si>
    <t>20113-058-2011</t>
  </si>
  <si>
    <t>SERVICIOS GENERALES LA TUNA E.I.R.L.</t>
  </si>
  <si>
    <t>ORILLAS DEL RIO NIEVA - MARGEN IZQUIERDA</t>
  </si>
  <si>
    <t>C1:55:GASOLINA 84 </t>
  </si>
  <si>
    <t>C1:385:DIESEL B5 </t>
  </si>
  <si>
    <t>ANA EDITH CORONEL LONGINOTE</t>
  </si>
  <si>
    <t>18542-058-150917</t>
  </si>
  <si>
    <t>RUDECINDO MAYTA GUERRA</t>
  </si>
  <si>
    <t>MALECON PUERTO LA HOYADA - MARGEN DERECHO DEL RIO UCAYALI</t>
  </si>
  <si>
    <t>C1:2450:DIESEL B5 </t>
  </si>
  <si>
    <t>118132-058-070318</t>
  </si>
  <si>
    <t xml:space="preserve">MARITIMA PETROLINE S.A.C. </t>
  </si>
  <si>
    <t>C1:12539:Diesel B5 S-50 </t>
  </si>
  <si>
    <t>C1:12539:DIESEL MARINO N° 2 </t>
  </si>
  <si>
    <t xml:space="preserve">JOSE GABRIEL LAZO PINEDO </t>
  </si>
  <si>
    <t>124898-058-280520</t>
  </si>
  <si>
    <t>GRIFO INVERSIONES SCC E.I.R.L.</t>
  </si>
  <si>
    <t>C1:2500:Diesel B5 S-50 C2:2500:Diesel B5 S-50 C3:2500:Diesel B5 S-50 C4:2500:Diesel B5 S-50 C5:2500:Diesel B5 S-50 C6:2500:Diesel B5 S-50 </t>
  </si>
  <si>
    <t>SANTOS OSCAR CRUZ CENTENO</t>
  </si>
  <si>
    <t>131854-058-250917</t>
  </si>
  <si>
    <t>C1:9200:GASOLINA 84 </t>
  </si>
  <si>
    <t>145146-058-170720</t>
  </si>
  <si>
    <t>EXPORTADORA CETUS S.A.C.</t>
  </si>
  <si>
    <t>BAHIA DE PAITA – MUELLE ZONAL – ZONA INDUSTRIAL II</t>
  </si>
  <si>
    <t>C1:15000:Diesel B5 S-50 </t>
  </si>
  <si>
    <t>JOSE LUIS ASERVI SAYAN</t>
  </si>
  <si>
    <t>96497-058-250517</t>
  </si>
  <si>
    <t>BAHIA DE PAITA / FRENTE A PUERTO NUEVO</t>
  </si>
  <si>
    <t>C1:12000:DIESEL B5,Diesel B5 S-50 </t>
  </si>
  <si>
    <t>MIZRAIM YHONATHAN CRUZ ALAYO</t>
  </si>
  <si>
    <t>141708-058-050720</t>
  </si>
  <si>
    <t>NEGOCIOS Y SERVICIOS FIRS E.I.R.L.</t>
  </si>
  <si>
    <t>BAHIA PUERTO RICO BAYOVAR</t>
  </si>
  <si>
    <t>JACINTO PANTA CASTULO</t>
  </si>
  <si>
    <t>109963-058-100914</t>
  </si>
  <si>
    <t>MARGEN DERECHA DEL LAGO CABALLOCOCHA, REFERENCIA EN LA LOCALIDAD DE CABALLOCOCHA</t>
  </si>
  <si>
    <t>31666-058-110918</t>
  </si>
  <si>
    <t>MARIA ISABEL LUJAN GUILLEN</t>
  </si>
  <si>
    <t>ORILLAS DEL RIO TAMBO, JR. MALECON S/N, VILLA ATALAYA</t>
  </si>
  <si>
    <t>C1:500:DIESEL B5 </t>
  </si>
  <si>
    <t>C1:2240:GASOLINA 90 </t>
  </si>
  <si>
    <t>C1:2740:GASOLINA 90 </t>
  </si>
  <si>
    <t>83628-058-300620</t>
  </si>
  <si>
    <t>MAESTRANZA NAVAL E.I.R.L.</t>
  </si>
  <si>
    <t>C1:7000:Diesel B5 S-50 </t>
  </si>
  <si>
    <t>MORETO SANCHEZ RULY OBLITAS</t>
  </si>
  <si>
    <t>121976-058-280616</t>
  </si>
  <si>
    <t>CALETA PUERTO RICO BAYOVAR S/N</t>
  </si>
  <si>
    <t>96656-058-140512</t>
  </si>
  <si>
    <t>BERNARDO MARTIN ZEVALLOS MORI</t>
  </si>
  <si>
    <t>MARGEN DERECHA DEL RIO YAVARI, ISLA ISLANDIA</t>
  </si>
  <si>
    <t>C1:15000:GASOLINA 84 </t>
  </si>
  <si>
    <t>119011-058-270817</t>
  </si>
  <si>
    <t>SERVICENTRO MAURI S.A.C.</t>
  </si>
  <si>
    <t xml:space="preserve">MARGEN DERECHA DEL RIO UCAYALI </t>
  </si>
  <si>
    <t>C1:1125:GASOLINA 90 C2:1125:GASOLINA 90 </t>
  </si>
  <si>
    <t>C1:3855.61:DIESEL B5 C2:3855.61:DIESEL B5 </t>
  </si>
  <si>
    <t>C1:3597.34:DIESEL B5 C2:3597.34:DIESEL B5 </t>
  </si>
  <si>
    <t>C1:2249.23:GASOLINA 90 C2:2249.23:GASOLINA 90 </t>
  </si>
  <si>
    <t>HECTOR MAURICIO LEON</t>
  </si>
  <si>
    <t>95762-058-030114</t>
  </si>
  <si>
    <t>GRIFO FLOTANTE CLAUDIA E.I.R.L.</t>
  </si>
  <si>
    <t>MARGEN IZQUIERDA DEL RIO MARAÑON - REF: PASAJE NAUTA</t>
  </si>
  <si>
    <t>C1:4250:GASOLINA 84 </t>
  </si>
  <si>
    <t>C1:4250:DIESEL B5 </t>
  </si>
  <si>
    <t>CLAUDYA LAIZ CHUMBE ORDOÑEZ</t>
  </si>
  <si>
    <t>130611-058-250717</t>
  </si>
  <si>
    <t>TRANSPORTES FLUVIALES AURIN E.I.R.L.</t>
  </si>
  <si>
    <t>MARGEN IZQUIERDA DEL RIO UCAYALI, REFERENCIA CENTRO POBLADO ORELLANA</t>
  </si>
  <si>
    <t>VARGAS GUERRA</t>
  </si>
  <si>
    <t>REMIGIO DAVILA MARINA</t>
  </si>
  <si>
    <t>62642-058-181217</t>
  </si>
  <si>
    <t>ACUA DIESEL E.I.R.L</t>
  </si>
  <si>
    <t>C1:0:DIESEL B5,Diesel B5 S-50 </t>
  </si>
  <si>
    <t>134719-058-050619</t>
  </si>
  <si>
    <t>GRIFO FLOTANTE THIAGO E.I.R.L</t>
  </si>
  <si>
    <t>MARGEN DERECHA DEL RIO ITAYA, FRENTE AL PUERTO PESQUERO</t>
  </si>
  <si>
    <t>C1:5095:GASOLINA 90 </t>
  </si>
  <si>
    <t>C1:5095:GASOLINA 84 </t>
  </si>
  <si>
    <t>C1:5095:DIESEL B5 </t>
  </si>
  <si>
    <t>MIGUEL PINEDO DEL AGUILA</t>
  </si>
  <si>
    <t>150899-058-100920</t>
  </si>
  <si>
    <t>JULIESTA S.A.C.</t>
  </si>
  <si>
    <t>MARGEN DERECHA DEL RIO MADRE DE DIOS SECTOR PUERTO HUANTUPA</t>
  </si>
  <si>
    <t>LUCIO QUISPE HUALLA</t>
  </si>
  <si>
    <t>115219-058-100120</t>
  </si>
  <si>
    <t xml:space="preserve">MARIA ISABEL LUJAN GUILLEN </t>
  </si>
  <si>
    <t>C1:6040:GASOLINA 90 </t>
  </si>
  <si>
    <t>C1:3402:DIESEL B5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</si>
</sst>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14" fontId="0" fillId="34" borderId="10" xfId="0" applyNumberFormat="1" applyFill="1" applyBorder="1" applyAlignment="1">
      <alignment wrapText="1"/>
    </xf>
    <xf numFmtId="0" fontId="0" fillId="35" borderId="10" xfId="0" applyFill="1" applyBorder="1" applyAlignment="1">
      <alignment wrapText="1"/>
    </xf>
    <xf numFmtId="14" fontId="0" fillId="35" borderId="10" xfId="0" applyNumberForma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8"/>
  <sheetViews>
    <sheetView showGridLines="0" tabSelected="1" workbookViewId="0">
      <selection activeCell="X48" sqref="X48"/>
    </sheetView>
  </sheetViews>
  <sheetFormatPr baseColWidth="10" defaultRowHeight="14" x14ac:dyDescent="0.3"/>
  <cols>
    <col min="1" max="1" width="3.8984375" customWidth="1"/>
    <col min="2" max="2" width="12.8984375" bestFit="1" customWidth="1"/>
    <col min="3" max="3" width="19.5" bestFit="1" customWidth="1"/>
    <col min="4" max="4" width="17.19921875" bestFit="1" customWidth="1"/>
    <col min="5" max="5" width="11.8984375" bestFit="1" customWidth="1"/>
    <col min="6" max="6" width="43.09765625" bestFit="1" customWidth="1"/>
    <col min="7" max="7" width="44.796875" bestFit="1" customWidth="1"/>
    <col min="8" max="8" width="23.09765625" bestFit="1" customWidth="1"/>
    <col min="9" max="9" width="24.69921875" bestFit="1" customWidth="1"/>
    <col min="10" max="10" width="15.5" bestFit="1" customWidth="1"/>
    <col min="11" max="11" width="23.8984375" bestFit="1" customWidth="1"/>
    <col min="12" max="12" width="44.3984375" bestFit="1" customWidth="1"/>
    <col min="13" max="15" width="43.69921875" bestFit="1" customWidth="1"/>
    <col min="16" max="16" width="44.59765625" bestFit="1" customWidth="1"/>
    <col min="17" max="17" width="44.19921875" bestFit="1" customWidth="1"/>
    <col min="18" max="23" width="19.59765625" bestFit="1" customWidth="1"/>
    <col min="24" max="24" width="16.8984375" bestFit="1" customWidth="1"/>
    <col min="25" max="25" width="12.19921875" bestFit="1" customWidth="1"/>
    <col min="26" max="26" width="20.3984375" bestFit="1" customWidth="1"/>
    <col min="27" max="27" width="38.796875" bestFit="1" customWidth="1"/>
  </cols>
  <sheetData>
    <row r="1" spans="1:27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ht="27.95" x14ac:dyDescent="0.3">
      <c r="A2" s="3">
        <v>1</v>
      </c>
      <c r="B2" s="3" t="str">
        <f>"201700045747"</f>
        <v>201700045747</v>
      </c>
      <c r="C2" s="3" t="str">
        <f>"125483"</f>
        <v>125483</v>
      </c>
      <c r="D2" s="3" t="s">
        <v>27</v>
      </c>
      <c r="E2" s="3">
        <v>20541244817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35</v>
      </c>
      <c r="O2" s="3" t="s">
        <v>35</v>
      </c>
      <c r="P2" s="3"/>
      <c r="Q2" s="3"/>
      <c r="R2" s="3"/>
      <c r="S2" s="3"/>
      <c r="T2" s="3"/>
      <c r="U2" s="3"/>
      <c r="V2" s="3"/>
      <c r="W2" s="3"/>
      <c r="X2" s="3">
        <v>35000</v>
      </c>
      <c r="Y2" s="4">
        <v>42830</v>
      </c>
      <c r="Z2" s="3" t="s">
        <v>36</v>
      </c>
      <c r="AA2" s="3" t="s">
        <v>37</v>
      </c>
    </row>
    <row r="3" spans="1:27" ht="27.95" x14ac:dyDescent="0.3">
      <c r="A3" s="5">
        <v>2</v>
      </c>
      <c r="B3" s="5" t="str">
        <f>"1338097"</f>
        <v>1338097</v>
      </c>
      <c r="C3" s="5" t="str">
        <f>"9545"</f>
        <v>9545</v>
      </c>
      <c r="D3" s="5" t="s">
        <v>38</v>
      </c>
      <c r="E3" s="5">
        <v>20103744131</v>
      </c>
      <c r="F3" s="5" t="s">
        <v>39</v>
      </c>
      <c r="G3" s="5" t="s">
        <v>40</v>
      </c>
      <c r="H3" s="5" t="s">
        <v>30</v>
      </c>
      <c r="I3" s="5" t="s">
        <v>41</v>
      </c>
      <c r="J3" s="5" t="s">
        <v>42</v>
      </c>
      <c r="K3" s="5" t="s">
        <v>33</v>
      </c>
      <c r="L3" s="5" t="s">
        <v>43</v>
      </c>
      <c r="M3" s="5" t="s">
        <v>44</v>
      </c>
      <c r="N3" s="5" t="s">
        <v>45</v>
      </c>
      <c r="O3" s="5"/>
      <c r="P3" s="5"/>
      <c r="Q3" s="5"/>
      <c r="R3" s="5"/>
      <c r="S3" s="5"/>
      <c r="T3" s="5"/>
      <c r="U3" s="5"/>
      <c r="V3" s="5"/>
      <c r="W3" s="5"/>
      <c r="X3" s="5">
        <v>9600</v>
      </c>
      <c r="Y3" s="6">
        <v>37179</v>
      </c>
      <c r="Z3" s="5" t="s">
        <v>36</v>
      </c>
      <c r="AA3" s="5" t="s">
        <v>46</v>
      </c>
    </row>
    <row r="4" spans="1:27" ht="27.95" x14ac:dyDescent="0.3">
      <c r="A4" s="3">
        <v>3</v>
      </c>
      <c r="B4" s="3" t="str">
        <f>"201500107287"</f>
        <v>201500107287</v>
      </c>
      <c r="C4" s="3" t="str">
        <f>"99250"</f>
        <v>99250</v>
      </c>
      <c r="D4" s="3" t="s">
        <v>47</v>
      </c>
      <c r="E4" s="3">
        <v>20567157203</v>
      </c>
      <c r="F4" s="3" t="s">
        <v>48</v>
      </c>
      <c r="G4" s="3" t="s">
        <v>49</v>
      </c>
      <c r="H4" s="3" t="s">
        <v>30</v>
      </c>
      <c r="I4" s="3" t="s">
        <v>31</v>
      </c>
      <c r="J4" s="3" t="s">
        <v>32</v>
      </c>
      <c r="K4" s="3" t="s">
        <v>33</v>
      </c>
      <c r="L4" s="3" t="s">
        <v>50</v>
      </c>
      <c r="M4" s="3" t="s">
        <v>51</v>
      </c>
      <c r="N4" s="3" t="s">
        <v>52</v>
      </c>
      <c r="O4" s="3" t="s">
        <v>53</v>
      </c>
      <c r="P4" s="3"/>
      <c r="Q4" s="3"/>
      <c r="R4" s="3"/>
      <c r="S4" s="3"/>
      <c r="T4" s="3"/>
      <c r="U4" s="3"/>
      <c r="V4" s="3"/>
      <c r="W4" s="3"/>
      <c r="X4" s="3">
        <v>11000</v>
      </c>
      <c r="Y4" s="4">
        <v>42254</v>
      </c>
      <c r="Z4" s="3" t="s">
        <v>36</v>
      </c>
      <c r="AA4" s="3" t="s">
        <v>54</v>
      </c>
    </row>
    <row r="5" spans="1:27" ht="41.95" x14ac:dyDescent="0.3">
      <c r="A5" s="5">
        <v>4</v>
      </c>
      <c r="B5" s="5" t="str">
        <f>"201500026206"</f>
        <v>201500026206</v>
      </c>
      <c r="C5" s="5" t="str">
        <f>"95029"</f>
        <v>95029</v>
      </c>
      <c r="D5" s="5" t="s">
        <v>55</v>
      </c>
      <c r="E5" s="5">
        <v>20567224750</v>
      </c>
      <c r="F5" s="5" t="s">
        <v>56</v>
      </c>
      <c r="G5" s="5" t="s">
        <v>57</v>
      </c>
      <c r="H5" s="5" t="s">
        <v>30</v>
      </c>
      <c r="I5" s="5" t="s">
        <v>41</v>
      </c>
      <c r="J5" s="5" t="s">
        <v>42</v>
      </c>
      <c r="K5" s="5" t="s">
        <v>33</v>
      </c>
      <c r="L5" s="5" t="s">
        <v>58</v>
      </c>
      <c r="M5" s="5" t="s">
        <v>59</v>
      </c>
      <c r="N5" s="5" t="s">
        <v>60</v>
      </c>
      <c r="O5" s="5" t="s">
        <v>34</v>
      </c>
      <c r="P5" s="5"/>
      <c r="Q5" s="5"/>
      <c r="R5" s="5"/>
      <c r="S5" s="5"/>
      <c r="T5" s="5"/>
      <c r="U5" s="5"/>
      <c r="V5" s="5"/>
      <c r="W5" s="5"/>
      <c r="X5" s="5">
        <v>15000</v>
      </c>
      <c r="Y5" s="6">
        <v>42086</v>
      </c>
      <c r="Z5" s="5" t="s">
        <v>36</v>
      </c>
      <c r="AA5" s="5" t="s">
        <v>61</v>
      </c>
    </row>
    <row r="6" spans="1:27" x14ac:dyDescent="0.3">
      <c r="A6" s="3">
        <v>5</v>
      </c>
      <c r="B6" s="3" t="str">
        <f>"202000054058"</f>
        <v>202000054058</v>
      </c>
      <c r="C6" s="3" t="str">
        <f>"83571"</f>
        <v>83571</v>
      </c>
      <c r="D6" s="3" t="s">
        <v>62</v>
      </c>
      <c r="E6" s="3">
        <v>20525873367</v>
      </c>
      <c r="F6" s="3" t="s">
        <v>63</v>
      </c>
      <c r="G6" s="3" t="s">
        <v>64</v>
      </c>
      <c r="H6" s="3" t="s">
        <v>65</v>
      </c>
      <c r="I6" s="3" t="s">
        <v>66</v>
      </c>
      <c r="J6" s="3" t="s">
        <v>66</v>
      </c>
      <c r="K6" s="3" t="s">
        <v>33</v>
      </c>
      <c r="L6" s="3" t="s">
        <v>67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>
        <v>13800</v>
      </c>
      <c r="Y6" s="4">
        <v>43954</v>
      </c>
      <c r="Z6" s="3" t="s">
        <v>36</v>
      </c>
      <c r="AA6" s="3" t="s">
        <v>68</v>
      </c>
    </row>
    <row r="7" spans="1:27" ht="27.95" x14ac:dyDescent="0.3">
      <c r="A7" s="5">
        <v>6</v>
      </c>
      <c r="B7" s="5" t="str">
        <f>"201700033969"</f>
        <v>201700033969</v>
      </c>
      <c r="C7" s="5" t="str">
        <f>"116052"</f>
        <v>116052</v>
      </c>
      <c r="D7" s="5" t="s">
        <v>69</v>
      </c>
      <c r="E7" s="5">
        <v>10048191679</v>
      </c>
      <c r="F7" s="5" t="s">
        <v>70</v>
      </c>
      <c r="G7" s="5" t="s">
        <v>71</v>
      </c>
      <c r="H7" s="5" t="s">
        <v>72</v>
      </c>
      <c r="I7" s="5" t="s">
        <v>73</v>
      </c>
      <c r="J7" s="5" t="s">
        <v>73</v>
      </c>
      <c r="K7" s="5" t="s">
        <v>33</v>
      </c>
      <c r="L7" s="5" t="s">
        <v>74</v>
      </c>
      <c r="M7" s="5" t="s">
        <v>75</v>
      </c>
      <c r="N7" s="5"/>
      <c r="O7" s="5"/>
      <c r="P7" s="5"/>
      <c r="Q7" s="5"/>
      <c r="R7" s="5"/>
      <c r="S7" s="5"/>
      <c r="T7" s="5"/>
      <c r="U7" s="5"/>
      <c r="V7" s="5"/>
      <c r="W7" s="5"/>
      <c r="X7" s="5">
        <v>16400</v>
      </c>
      <c r="Y7" s="6">
        <v>42802</v>
      </c>
      <c r="Z7" s="5" t="s">
        <v>36</v>
      </c>
      <c r="AA7" s="5" t="s">
        <v>76</v>
      </c>
    </row>
    <row r="8" spans="1:27" x14ac:dyDescent="0.3">
      <c r="A8" s="3">
        <v>7</v>
      </c>
      <c r="B8" s="3" t="str">
        <f>"201800064883"</f>
        <v>201800064883</v>
      </c>
      <c r="C8" s="3" t="str">
        <f>"135730"</f>
        <v>135730</v>
      </c>
      <c r="D8" s="3" t="s">
        <v>77</v>
      </c>
      <c r="E8" s="3">
        <v>10436152774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33</v>
      </c>
      <c r="L8" s="3" t="s">
        <v>83</v>
      </c>
      <c r="M8" s="3" t="s">
        <v>84</v>
      </c>
      <c r="N8" s="3" t="s">
        <v>85</v>
      </c>
      <c r="O8" s="3" t="s">
        <v>86</v>
      </c>
      <c r="P8" s="3"/>
      <c r="Q8" s="3"/>
      <c r="R8" s="3"/>
      <c r="S8" s="3"/>
      <c r="T8" s="3"/>
      <c r="U8" s="3"/>
      <c r="V8" s="3"/>
      <c r="W8" s="3"/>
      <c r="X8" s="3">
        <v>23200</v>
      </c>
      <c r="Y8" s="4">
        <v>43209</v>
      </c>
      <c r="Z8" s="3" t="s">
        <v>36</v>
      </c>
      <c r="AA8" s="3" t="s">
        <v>78</v>
      </c>
    </row>
    <row r="9" spans="1:27" ht="27.95" x14ac:dyDescent="0.3">
      <c r="A9" s="5">
        <v>8</v>
      </c>
      <c r="B9" s="5" t="str">
        <f>"201900007554"</f>
        <v>201900007554</v>
      </c>
      <c r="C9" s="5" t="str">
        <f>"132539"</f>
        <v>132539</v>
      </c>
      <c r="D9" s="5" t="s">
        <v>87</v>
      </c>
      <c r="E9" s="5">
        <v>20602517129</v>
      </c>
      <c r="F9" s="5" t="s">
        <v>88</v>
      </c>
      <c r="G9" s="5" t="s">
        <v>89</v>
      </c>
      <c r="H9" s="5" t="s">
        <v>30</v>
      </c>
      <c r="I9" s="5" t="s">
        <v>30</v>
      </c>
      <c r="J9" s="5" t="s">
        <v>90</v>
      </c>
      <c r="K9" s="5" t="s">
        <v>33</v>
      </c>
      <c r="L9" s="5" t="s">
        <v>91</v>
      </c>
      <c r="M9" s="5" t="s">
        <v>92</v>
      </c>
      <c r="N9" s="5"/>
      <c r="O9" s="5"/>
      <c r="P9" s="5"/>
      <c r="Q9" s="5"/>
      <c r="R9" s="5"/>
      <c r="S9" s="5"/>
      <c r="T9" s="5"/>
      <c r="U9" s="5"/>
      <c r="V9" s="5"/>
      <c r="W9" s="5"/>
      <c r="X9" s="5">
        <v>12000</v>
      </c>
      <c r="Y9" s="6">
        <v>43486</v>
      </c>
      <c r="Z9" s="5" t="s">
        <v>36</v>
      </c>
      <c r="AA9" s="5" t="s">
        <v>93</v>
      </c>
    </row>
    <row r="10" spans="1:27" x14ac:dyDescent="0.3">
      <c r="A10" s="3">
        <v>9</v>
      </c>
      <c r="B10" s="3" t="str">
        <f>"201700197757"</f>
        <v>201700197757</v>
      </c>
      <c r="C10" s="3" t="str">
        <f>"133040"</f>
        <v>133040</v>
      </c>
      <c r="D10" s="3" t="s">
        <v>94</v>
      </c>
      <c r="E10" s="3">
        <v>10072347761</v>
      </c>
      <c r="F10" s="3" t="s">
        <v>95</v>
      </c>
      <c r="G10" s="3" t="s">
        <v>96</v>
      </c>
      <c r="H10" s="3" t="s">
        <v>30</v>
      </c>
      <c r="I10" s="3" t="s">
        <v>30</v>
      </c>
      <c r="J10" s="3" t="s">
        <v>90</v>
      </c>
      <c r="K10" s="3" t="s">
        <v>33</v>
      </c>
      <c r="L10" s="3" t="s">
        <v>97</v>
      </c>
      <c r="M10" s="3" t="s">
        <v>97</v>
      </c>
      <c r="N10" s="3" t="s">
        <v>97</v>
      </c>
      <c r="O10" s="3" t="s">
        <v>98</v>
      </c>
      <c r="P10" s="3"/>
      <c r="Q10" s="3"/>
      <c r="R10" s="3"/>
      <c r="S10" s="3"/>
      <c r="T10" s="3"/>
      <c r="U10" s="3"/>
      <c r="V10" s="3"/>
      <c r="W10" s="3"/>
      <c r="X10" s="3">
        <v>6560</v>
      </c>
      <c r="Y10" s="4">
        <v>43070</v>
      </c>
      <c r="Z10" s="3" t="s">
        <v>36</v>
      </c>
      <c r="AA10" s="3" t="s">
        <v>95</v>
      </c>
    </row>
    <row r="11" spans="1:27" ht="41.95" x14ac:dyDescent="0.3">
      <c r="A11" s="5">
        <v>10</v>
      </c>
      <c r="B11" s="5" t="str">
        <f>"201200035759"</f>
        <v>201200035759</v>
      </c>
      <c r="C11" s="5" t="str">
        <f>"95758"</f>
        <v>95758</v>
      </c>
      <c r="D11" s="5" t="s">
        <v>99</v>
      </c>
      <c r="E11" s="5">
        <v>20450948986</v>
      </c>
      <c r="F11" s="5" t="s">
        <v>100</v>
      </c>
      <c r="G11" s="5" t="s">
        <v>101</v>
      </c>
      <c r="H11" s="5" t="s">
        <v>30</v>
      </c>
      <c r="I11" s="5" t="s">
        <v>30</v>
      </c>
      <c r="J11" s="5" t="s">
        <v>90</v>
      </c>
      <c r="K11" s="5" t="s">
        <v>33</v>
      </c>
      <c r="L11" s="5" t="s">
        <v>102</v>
      </c>
      <c r="M11" s="5" t="s">
        <v>103</v>
      </c>
      <c r="N11" s="5" t="s">
        <v>104</v>
      </c>
      <c r="O11" s="5"/>
      <c r="P11" s="5"/>
      <c r="Q11" s="5"/>
      <c r="R11" s="5"/>
      <c r="S11" s="5"/>
      <c r="T11" s="5"/>
      <c r="U11" s="5"/>
      <c r="V11" s="5"/>
      <c r="W11" s="5"/>
      <c r="X11" s="5">
        <v>37472</v>
      </c>
      <c r="Y11" s="6">
        <v>40981</v>
      </c>
      <c r="Z11" s="5" t="s">
        <v>36</v>
      </c>
      <c r="AA11" s="5" t="s">
        <v>105</v>
      </c>
    </row>
    <row r="12" spans="1:27" x14ac:dyDescent="0.3">
      <c r="A12" s="3">
        <v>11</v>
      </c>
      <c r="B12" s="3" t="str">
        <f>"201700191826"</f>
        <v>201700191826</v>
      </c>
      <c r="C12" s="3" t="str">
        <f>"132867"</f>
        <v>132867</v>
      </c>
      <c r="D12" s="3" t="s">
        <v>106</v>
      </c>
      <c r="E12" s="3">
        <v>10048191679</v>
      </c>
      <c r="F12" s="3" t="s">
        <v>70</v>
      </c>
      <c r="G12" s="3" t="s">
        <v>107</v>
      </c>
      <c r="H12" s="3" t="s">
        <v>72</v>
      </c>
      <c r="I12" s="3" t="s">
        <v>73</v>
      </c>
      <c r="J12" s="3" t="s">
        <v>108</v>
      </c>
      <c r="K12" s="3" t="s">
        <v>33</v>
      </c>
      <c r="L12" s="3" t="s">
        <v>109</v>
      </c>
      <c r="M12" s="3" t="s">
        <v>109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16400</v>
      </c>
      <c r="Y12" s="4">
        <v>43059</v>
      </c>
      <c r="Z12" s="3" t="s">
        <v>36</v>
      </c>
      <c r="AA12" s="3" t="s">
        <v>70</v>
      </c>
    </row>
    <row r="13" spans="1:27" ht="27.95" x14ac:dyDescent="0.3">
      <c r="A13" s="5">
        <v>12</v>
      </c>
      <c r="B13" s="5" t="str">
        <f>"201900080831"</f>
        <v>201900080831</v>
      </c>
      <c r="C13" s="5" t="str">
        <f>"35137"</f>
        <v>35137</v>
      </c>
      <c r="D13" s="5" t="s">
        <v>110</v>
      </c>
      <c r="E13" s="5">
        <v>10231438527</v>
      </c>
      <c r="F13" s="5" t="s">
        <v>111</v>
      </c>
      <c r="G13" s="5" t="s">
        <v>112</v>
      </c>
      <c r="H13" s="5" t="s">
        <v>80</v>
      </c>
      <c r="I13" s="5" t="s">
        <v>81</v>
      </c>
      <c r="J13" s="5" t="s">
        <v>82</v>
      </c>
      <c r="K13" s="5" t="s">
        <v>33</v>
      </c>
      <c r="L13" s="5" t="s">
        <v>113</v>
      </c>
      <c r="M13" s="5" t="s">
        <v>113</v>
      </c>
      <c r="N13" s="5" t="s">
        <v>114</v>
      </c>
      <c r="O13" s="5" t="s">
        <v>114</v>
      </c>
      <c r="P13" s="5"/>
      <c r="Q13" s="5"/>
      <c r="R13" s="5"/>
      <c r="S13" s="5"/>
      <c r="T13" s="5"/>
      <c r="U13" s="5"/>
      <c r="V13" s="5"/>
      <c r="W13" s="5"/>
      <c r="X13" s="5">
        <v>12000</v>
      </c>
      <c r="Y13" s="6">
        <v>43607</v>
      </c>
      <c r="Z13" s="5" t="s">
        <v>36</v>
      </c>
      <c r="AA13" s="5" t="s">
        <v>111</v>
      </c>
    </row>
    <row r="14" spans="1:27" ht="41.95" x14ac:dyDescent="0.3">
      <c r="A14" s="3">
        <v>13</v>
      </c>
      <c r="B14" s="3" t="str">
        <f>"201500115491"</f>
        <v>201500115491</v>
      </c>
      <c r="C14" s="3" t="str">
        <f>"115842"</f>
        <v>115842</v>
      </c>
      <c r="D14" s="3" t="s">
        <v>115</v>
      </c>
      <c r="E14" s="3">
        <v>20528215336</v>
      </c>
      <c r="F14" s="3" t="s">
        <v>116</v>
      </c>
      <c r="G14" s="3" t="s">
        <v>117</v>
      </c>
      <c r="H14" s="3" t="s">
        <v>30</v>
      </c>
      <c r="I14" s="3" t="s">
        <v>41</v>
      </c>
      <c r="J14" s="3" t="s">
        <v>118</v>
      </c>
      <c r="K14" s="3" t="s">
        <v>33</v>
      </c>
      <c r="L14" s="3" t="s">
        <v>119</v>
      </c>
      <c r="M14" s="3" t="s">
        <v>120</v>
      </c>
      <c r="N14" s="3" t="s">
        <v>120</v>
      </c>
      <c r="O14" s="3" t="s">
        <v>121</v>
      </c>
      <c r="P14" s="3"/>
      <c r="Q14" s="3"/>
      <c r="R14" s="3"/>
      <c r="S14" s="3"/>
      <c r="T14" s="3"/>
      <c r="U14" s="3"/>
      <c r="V14" s="3"/>
      <c r="W14" s="3"/>
      <c r="X14" s="3">
        <v>112000</v>
      </c>
      <c r="Y14" s="4">
        <v>42265</v>
      </c>
      <c r="Z14" s="3" t="s">
        <v>36</v>
      </c>
      <c r="AA14" s="3" t="s">
        <v>122</v>
      </c>
    </row>
    <row r="15" spans="1:27" x14ac:dyDescent="0.3">
      <c r="A15" s="5">
        <v>14</v>
      </c>
      <c r="B15" s="5" t="str">
        <f>"201900053250"</f>
        <v>201900053250</v>
      </c>
      <c r="C15" s="5" t="str">
        <f>"18547"</f>
        <v>18547</v>
      </c>
      <c r="D15" s="5" t="s">
        <v>123</v>
      </c>
      <c r="E15" s="5">
        <v>20604243832</v>
      </c>
      <c r="F15" s="5" t="s">
        <v>124</v>
      </c>
      <c r="G15" s="5" t="s">
        <v>125</v>
      </c>
      <c r="H15" s="5" t="s">
        <v>80</v>
      </c>
      <c r="I15" s="5" t="s">
        <v>81</v>
      </c>
      <c r="J15" s="5" t="s">
        <v>82</v>
      </c>
      <c r="K15" s="5" t="s">
        <v>33</v>
      </c>
      <c r="L15" s="5" t="s">
        <v>126</v>
      </c>
      <c r="M15" s="5" t="s">
        <v>126</v>
      </c>
      <c r="N15" s="5" t="s">
        <v>127</v>
      </c>
      <c r="O15" s="5" t="s">
        <v>128</v>
      </c>
      <c r="P15" s="5"/>
      <c r="Q15" s="5"/>
      <c r="R15" s="5"/>
      <c r="S15" s="5"/>
      <c r="T15" s="5"/>
      <c r="U15" s="5"/>
      <c r="V15" s="5"/>
      <c r="W15" s="5"/>
      <c r="X15" s="5">
        <v>21000</v>
      </c>
      <c r="Y15" s="6">
        <v>43567</v>
      </c>
      <c r="Z15" s="5" t="s">
        <v>36</v>
      </c>
      <c r="AA15" s="5" t="s">
        <v>129</v>
      </c>
    </row>
    <row r="16" spans="1:27" ht="27.95" x14ac:dyDescent="0.3">
      <c r="A16" s="3">
        <v>15</v>
      </c>
      <c r="B16" s="3" t="str">
        <f>"201900001072"</f>
        <v>201900001072</v>
      </c>
      <c r="C16" s="3" t="str">
        <f>"103588"</f>
        <v>103588</v>
      </c>
      <c r="D16" s="3" t="s">
        <v>130</v>
      </c>
      <c r="E16" s="3">
        <v>10467497567</v>
      </c>
      <c r="F16" s="3" t="s">
        <v>131</v>
      </c>
      <c r="G16" s="3" t="s">
        <v>132</v>
      </c>
      <c r="H16" s="3" t="s">
        <v>30</v>
      </c>
      <c r="I16" s="3" t="s">
        <v>41</v>
      </c>
      <c r="J16" s="3" t="s">
        <v>133</v>
      </c>
      <c r="K16" s="3" t="s">
        <v>33</v>
      </c>
      <c r="L16" s="3" t="s">
        <v>34</v>
      </c>
      <c r="M16" s="3" t="s">
        <v>58</v>
      </c>
      <c r="N16" s="3" t="s">
        <v>58</v>
      </c>
      <c r="O16" s="3"/>
      <c r="P16" s="3"/>
      <c r="Q16" s="3"/>
      <c r="R16" s="3"/>
      <c r="S16" s="3"/>
      <c r="T16" s="3"/>
      <c r="U16" s="3"/>
      <c r="V16" s="3"/>
      <c r="W16" s="3"/>
      <c r="X16" s="3">
        <v>15000</v>
      </c>
      <c r="Y16" s="4">
        <v>43475</v>
      </c>
      <c r="Z16" s="3" t="s">
        <v>36</v>
      </c>
      <c r="AA16" s="3" t="s">
        <v>131</v>
      </c>
    </row>
    <row r="17" spans="1:27" ht="27.95" x14ac:dyDescent="0.3">
      <c r="A17" s="5">
        <v>16</v>
      </c>
      <c r="B17" s="5" t="str">
        <f>"201800008328"</f>
        <v>201800008328</v>
      </c>
      <c r="C17" s="5" t="str">
        <f>"134069"</f>
        <v>134069</v>
      </c>
      <c r="D17" s="5" t="s">
        <v>134</v>
      </c>
      <c r="E17" s="5">
        <v>20601497809</v>
      </c>
      <c r="F17" s="5" t="s">
        <v>135</v>
      </c>
      <c r="G17" s="5" t="s">
        <v>136</v>
      </c>
      <c r="H17" s="5" t="s">
        <v>30</v>
      </c>
      <c r="I17" s="5" t="s">
        <v>30</v>
      </c>
      <c r="J17" s="5" t="s">
        <v>90</v>
      </c>
      <c r="K17" s="5" t="s">
        <v>33</v>
      </c>
      <c r="L17" s="5" t="s">
        <v>137</v>
      </c>
      <c r="M17" s="5" t="s">
        <v>137</v>
      </c>
      <c r="N17" s="5" t="s">
        <v>138</v>
      </c>
      <c r="O17" s="5" t="s">
        <v>139</v>
      </c>
      <c r="P17" s="5" t="s">
        <v>139</v>
      </c>
      <c r="Q17" s="5"/>
      <c r="R17" s="5"/>
      <c r="S17" s="5"/>
      <c r="T17" s="5"/>
      <c r="U17" s="5"/>
      <c r="V17" s="5"/>
      <c r="W17" s="5"/>
      <c r="X17" s="5">
        <v>32000</v>
      </c>
      <c r="Y17" s="6">
        <v>43122</v>
      </c>
      <c r="Z17" s="5" t="s">
        <v>36</v>
      </c>
      <c r="AA17" s="5" t="s">
        <v>140</v>
      </c>
    </row>
    <row r="18" spans="1:27" x14ac:dyDescent="0.3">
      <c r="A18" s="3">
        <v>17</v>
      </c>
      <c r="B18" s="3" t="str">
        <f>"201800101091"</f>
        <v>201800101091</v>
      </c>
      <c r="C18" s="3" t="str">
        <f>"132100"</f>
        <v>132100</v>
      </c>
      <c r="D18" s="3" t="s">
        <v>141</v>
      </c>
      <c r="E18" s="3">
        <v>10454408751</v>
      </c>
      <c r="F18" s="3" t="s">
        <v>142</v>
      </c>
      <c r="G18" s="3" t="s">
        <v>107</v>
      </c>
      <c r="H18" s="3" t="s">
        <v>72</v>
      </c>
      <c r="I18" s="3" t="s">
        <v>73</v>
      </c>
      <c r="J18" s="3" t="s">
        <v>108</v>
      </c>
      <c r="K18" s="3" t="s">
        <v>33</v>
      </c>
      <c r="L18" s="3" t="s">
        <v>143</v>
      </c>
      <c r="M18" s="3" t="s">
        <v>143</v>
      </c>
      <c r="N18" s="3" t="s">
        <v>144</v>
      </c>
      <c r="O18" s="3" t="s">
        <v>144</v>
      </c>
      <c r="P18" s="3"/>
      <c r="Q18" s="3"/>
      <c r="R18" s="3"/>
      <c r="S18" s="3"/>
      <c r="T18" s="3"/>
      <c r="U18" s="3"/>
      <c r="V18" s="3"/>
      <c r="W18" s="3"/>
      <c r="X18" s="3">
        <v>13536</v>
      </c>
      <c r="Y18" s="4">
        <v>43271</v>
      </c>
      <c r="Z18" s="3" t="s">
        <v>36</v>
      </c>
      <c r="AA18" s="3" t="s">
        <v>142</v>
      </c>
    </row>
    <row r="19" spans="1:27" ht="27.95" x14ac:dyDescent="0.3">
      <c r="A19" s="5">
        <v>18</v>
      </c>
      <c r="B19" s="5" t="str">
        <f>"201900181973"</f>
        <v>201900181973</v>
      </c>
      <c r="C19" s="5" t="str">
        <f>"6939"</f>
        <v>6939</v>
      </c>
      <c r="D19" s="5" t="s">
        <v>145</v>
      </c>
      <c r="E19" s="5">
        <v>20605376461</v>
      </c>
      <c r="F19" s="5" t="s">
        <v>146</v>
      </c>
      <c r="G19" s="5" t="s">
        <v>147</v>
      </c>
      <c r="H19" s="5" t="s">
        <v>80</v>
      </c>
      <c r="I19" s="5" t="s">
        <v>81</v>
      </c>
      <c r="J19" s="5" t="s">
        <v>82</v>
      </c>
      <c r="K19" s="5" t="s">
        <v>33</v>
      </c>
      <c r="L19" s="5" t="s">
        <v>148</v>
      </c>
      <c r="M19" s="5" t="s">
        <v>114</v>
      </c>
      <c r="N19" s="5" t="s">
        <v>113</v>
      </c>
      <c r="O19" s="5"/>
      <c r="P19" s="5"/>
      <c r="Q19" s="5"/>
      <c r="R19" s="5"/>
      <c r="S19" s="5"/>
      <c r="T19" s="5"/>
      <c r="U19" s="5"/>
      <c r="V19" s="5"/>
      <c r="W19" s="5"/>
      <c r="X19" s="5">
        <v>10000</v>
      </c>
      <c r="Y19" s="6">
        <v>43781</v>
      </c>
      <c r="Z19" s="5" t="s">
        <v>36</v>
      </c>
      <c r="AA19" s="5" t="s">
        <v>149</v>
      </c>
    </row>
    <row r="20" spans="1:27" x14ac:dyDescent="0.3">
      <c r="A20" s="3">
        <v>19</v>
      </c>
      <c r="B20" s="3" t="str">
        <f>"201900117781"</f>
        <v>201900117781</v>
      </c>
      <c r="C20" s="3" t="str">
        <f>"129014"</f>
        <v>129014</v>
      </c>
      <c r="D20" s="3" t="s">
        <v>150</v>
      </c>
      <c r="E20" s="3">
        <v>20601115558</v>
      </c>
      <c r="F20" s="3" t="s">
        <v>151</v>
      </c>
      <c r="G20" s="3" t="s">
        <v>152</v>
      </c>
      <c r="H20" s="3" t="s">
        <v>153</v>
      </c>
      <c r="I20" s="3" t="s">
        <v>154</v>
      </c>
      <c r="J20" s="3" t="s">
        <v>155</v>
      </c>
      <c r="K20" s="3" t="s">
        <v>33</v>
      </c>
      <c r="L20" s="3" t="s">
        <v>156</v>
      </c>
      <c r="M20" s="3" t="s">
        <v>157</v>
      </c>
      <c r="N20" s="3" t="s">
        <v>157</v>
      </c>
      <c r="O20" s="3" t="s">
        <v>157</v>
      </c>
      <c r="P20" s="3"/>
      <c r="Q20" s="3"/>
      <c r="R20" s="3"/>
      <c r="S20" s="3"/>
      <c r="T20" s="3"/>
      <c r="U20" s="3"/>
      <c r="V20" s="3"/>
      <c r="W20" s="3"/>
      <c r="X20" s="3">
        <v>23000</v>
      </c>
      <c r="Y20" s="4">
        <v>43665</v>
      </c>
      <c r="Z20" s="3" t="s">
        <v>36</v>
      </c>
      <c r="AA20" s="3" t="s">
        <v>158</v>
      </c>
    </row>
    <row r="21" spans="1:27" ht="27.95" x14ac:dyDescent="0.3">
      <c r="A21" s="5">
        <v>20</v>
      </c>
      <c r="B21" s="5" t="str">
        <f>"201300168030"</f>
        <v>201300168030</v>
      </c>
      <c r="C21" s="5" t="str">
        <f>"104606"</f>
        <v>104606</v>
      </c>
      <c r="D21" s="5" t="s">
        <v>159</v>
      </c>
      <c r="E21" s="5">
        <v>20528301097</v>
      </c>
      <c r="F21" s="5" t="s">
        <v>160</v>
      </c>
      <c r="G21" s="5" t="s">
        <v>161</v>
      </c>
      <c r="H21" s="5" t="s">
        <v>30</v>
      </c>
      <c r="I21" s="5" t="s">
        <v>162</v>
      </c>
      <c r="J21" s="5" t="s">
        <v>163</v>
      </c>
      <c r="K21" s="5" t="s">
        <v>33</v>
      </c>
      <c r="L21" s="5" t="s">
        <v>34</v>
      </c>
      <c r="M21" s="5" t="s">
        <v>58</v>
      </c>
      <c r="N21" s="5" t="s">
        <v>58</v>
      </c>
      <c r="O21" s="5" t="s">
        <v>58</v>
      </c>
      <c r="P21" s="5"/>
      <c r="Q21" s="5"/>
      <c r="R21" s="5"/>
      <c r="S21" s="5"/>
      <c r="T21" s="5"/>
      <c r="U21" s="5"/>
      <c r="V21" s="5"/>
      <c r="W21" s="5"/>
      <c r="X21" s="5">
        <v>20000</v>
      </c>
      <c r="Y21" s="6">
        <v>41588</v>
      </c>
      <c r="Z21" s="5" t="s">
        <v>36</v>
      </c>
      <c r="AA21" s="5" t="s">
        <v>164</v>
      </c>
    </row>
    <row r="22" spans="1:27" ht="27.95" x14ac:dyDescent="0.3">
      <c r="A22" s="3">
        <v>21</v>
      </c>
      <c r="B22" s="3" t="str">
        <f>"1791462"</f>
        <v>1791462</v>
      </c>
      <c r="C22" s="3" t="str">
        <f>"62959"</f>
        <v>62959</v>
      </c>
      <c r="D22" s="3" t="s">
        <v>165</v>
      </c>
      <c r="E22" s="3">
        <v>20280209962</v>
      </c>
      <c r="F22" s="3" t="s">
        <v>166</v>
      </c>
      <c r="G22" s="3" t="s">
        <v>167</v>
      </c>
      <c r="H22" s="3" t="s">
        <v>30</v>
      </c>
      <c r="I22" s="3" t="s">
        <v>41</v>
      </c>
      <c r="J22" s="3" t="s">
        <v>168</v>
      </c>
      <c r="K22" s="3" t="s">
        <v>33</v>
      </c>
      <c r="L22" s="3" t="s">
        <v>169</v>
      </c>
      <c r="M22" s="3" t="s">
        <v>170</v>
      </c>
      <c r="N22" s="3" t="s">
        <v>171</v>
      </c>
      <c r="O22" s="3"/>
      <c r="P22" s="3"/>
      <c r="Q22" s="3"/>
      <c r="R22" s="3"/>
      <c r="S22" s="3"/>
      <c r="T22" s="3"/>
      <c r="U22" s="3"/>
      <c r="V22" s="3"/>
      <c r="W22" s="3"/>
      <c r="X22" s="3">
        <v>8721</v>
      </c>
      <c r="Y22" s="4">
        <v>39611</v>
      </c>
      <c r="Z22" s="3" t="s">
        <v>36</v>
      </c>
      <c r="AA22" s="3" t="s">
        <v>172</v>
      </c>
    </row>
    <row r="23" spans="1:27" ht="27.95" x14ac:dyDescent="0.3">
      <c r="A23" s="5">
        <v>22</v>
      </c>
      <c r="B23" s="5" t="str">
        <f>"201600156111"</f>
        <v>201600156111</v>
      </c>
      <c r="C23" s="5" t="str">
        <f>"97083"</f>
        <v>97083</v>
      </c>
      <c r="D23" s="5" t="s">
        <v>173</v>
      </c>
      <c r="E23" s="5">
        <v>20600424409</v>
      </c>
      <c r="F23" s="5" t="s">
        <v>174</v>
      </c>
      <c r="G23" s="5" t="s">
        <v>175</v>
      </c>
      <c r="H23" s="5" t="s">
        <v>30</v>
      </c>
      <c r="I23" s="5" t="s">
        <v>41</v>
      </c>
      <c r="J23" s="5" t="s">
        <v>118</v>
      </c>
      <c r="K23" s="5" t="s">
        <v>33</v>
      </c>
      <c r="L23" s="5" t="s">
        <v>176</v>
      </c>
      <c r="M23" s="5" t="s">
        <v>176</v>
      </c>
      <c r="N23" s="5" t="s">
        <v>113</v>
      </c>
      <c r="O23" s="5"/>
      <c r="P23" s="5"/>
      <c r="Q23" s="5"/>
      <c r="R23" s="5"/>
      <c r="S23" s="5"/>
      <c r="T23" s="5"/>
      <c r="U23" s="5"/>
      <c r="V23" s="5"/>
      <c r="W23" s="5"/>
      <c r="X23" s="5">
        <v>9000</v>
      </c>
      <c r="Y23" s="6">
        <v>42704</v>
      </c>
      <c r="Z23" s="5" t="s">
        <v>36</v>
      </c>
      <c r="AA23" s="5" t="s">
        <v>177</v>
      </c>
    </row>
    <row r="24" spans="1:27" ht="27.95" x14ac:dyDescent="0.3">
      <c r="A24" s="3">
        <v>23</v>
      </c>
      <c r="B24" s="3" t="str">
        <f>"201900166499"</f>
        <v>201900166499</v>
      </c>
      <c r="C24" s="3" t="str">
        <f>"146648"</f>
        <v>146648</v>
      </c>
      <c r="D24" s="3" t="s">
        <v>178</v>
      </c>
      <c r="E24" s="3">
        <v>20493421876</v>
      </c>
      <c r="F24" s="3" t="s">
        <v>179</v>
      </c>
      <c r="G24" s="3" t="s">
        <v>180</v>
      </c>
      <c r="H24" s="3" t="s">
        <v>30</v>
      </c>
      <c r="I24" s="3" t="s">
        <v>30</v>
      </c>
      <c r="J24" s="3" t="s">
        <v>90</v>
      </c>
      <c r="K24" s="3" t="s">
        <v>33</v>
      </c>
      <c r="L24" s="3" t="s">
        <v>181</v>
      </c>
      <c r="M24" s="3" t="s">
        <v>181</v>
      </c>
      <c r="N24" s="3" t="s">
        <v>182</v>
      </c>
      <c r="O24" s="3" t="s">
        <v>183</v>
      </c>
      <c r="P24" s="3"/>
      <c r="Q24" s="3"/>
      <c r="R24" s="3"/>
      <c r="S24" s="3"/>
      <c r="T24" s="3"/>
      <c r="U24" s="3"/>
      <c r="V24" s="3"/>
      <c r="W24" s="3"/>
      <c r="X24" s="3">
        <v>70000</v>
      </c>
      <c r="Y24" s="4">
        <v>43754</v>
      </c>
      <c r="Z24" s="3" t="s">
        <v>36</v>
      </c>
      <c r="AA24" s="3" t="s">
        <v>184</v>
      </c>
    </row>
    <row r="25" spans="1:27" ht="27.95" x14ac:dyDescent="0.3">
      <c r="A25" s="5">
        <v>24</v>
      </c>
      <c r="B25" s="5" t="str">
        <f>"201700167068"</f>
        <v>201700167068</v>
      </c>
      <c r="C25" s="5" t="str">
        <f>"132249"</f>
        <v>132249</v>
      </c>
      <c r="D25" s="5" t="s">
        <v>185</v>
      </c>
      <c r="E25" s="5">
        <v>20567254403</v>
      </c>
      <c r="F25" s="5" t="s">
        <v>186</v>
      </c>
      <c r="G25" s="5" t="s">
        <v>187</v>
      </c>
      <c r="H25" s="5" t="s">
        <v>30</v>
      </c>
      <c r="I25" s="5" t="s">
        <v>31</v>
      </c>
      <c r="J25" s="5" t="s">
        <v>32</v>
      </c>
      <c r="K25" s="5" t="s">
        <v>33</v>
      </c>
      <c r="L25" s="5" t="s">
        <v>188</v>
      </c>
      <c r="M25" s="5" t="s">
        <v>189</v>
      </c>
      <c r="N25" s="5" t="s">
        <v>189</v>
      </c>
      <c r="O25" s="5" t="s">
        <v>189</v>
      </c>
      <c r="P25" s="5" t="s">
        <v>189</v>
      </c>
      <c r="Q25" s="5" t="s">
        <v>189</v>
      </c>
      <c r="R25" s="5"/>
      <c r="S25" s="5"/>
      <c r="T25" s="5"/>
      <c r="U25" s="5"/>
      <c r="V25" s="5"/>
      <c r="W25" s="5"/>
      <c r="X25" s="5">
        <v>27600</v>
      </c>
      <c r="Y25" s="6">
        <v>43022</v>
      </c>
      <c r="Z25" s="5" t="s">
        <v>36</v>
      </c>
      <c r="AA25" s="5" t="s">
        <v>190</v>
      </c>
    </row>
    <row r="26" spans="1:27" x14ac:dyDescent="0.3">
      <c r="A26" s="3">
        <v>25</v>
      </c>
      <c r="B26" s="3" t="str">
        <f>"201700038503"</f>
        <v>201700038503</v>
      </c>
      <c r="C26" s="3" t="str">
        <f>"125478"</f>
        <v>125478</v>
      </c>
      <c r="D26" s="3" t="s">
        <v>191</v>
      </c>
      <c r="E26" s="3">
        <v>10425171912</v>
      </c>
      <c r="F26" s="3" t="s">
        <v>192</v>
      </c>
      <c r="G26" s="3" t="s">
        <v>193</v>
      </c>
      <c r="H26" s="3" t="s">
        <v>30</v>
      </c>
      <c r="I26" s="3" t="s">
        <v>194</v>
      </c>
      <c r="J26" s="3" t="s">
        <v>195</v>
      </c>
      <c r="K26" s="3" t="s">
        <v>33</v>
      </c>
      <c r="L26" s="3" t="s">
        <v>34</v>
      </c>
      <c r="M26" s="3" t="s">
        <v>58</v>
      </c>
      <c r="N26" s="3" t="s">
        <v>58</v>
      </c>
      <c r="O26" s="3" t="s">
        <v>58</v>
      </c>
      <c r="P26" s="3"/>
      <c r="Q26" s="3"/>
      <c r="R26" s="3"/>
      <c r="S26" s="3"/>
      <c r="T26" s="3"/>
      <c r="U26" s="3"/>
      <c r="V26" s="3"/>
      <c r="W26" s="3"/>
      <c r="X26" s="3">
        <v>20000</v>
      </c>
      <c r="Y26" s="4">
        <v>42844</v>
      </c>
      <c r="Z26" s="3" t="s">
        <v>36</v>
      </c>
      <c r="AA26" s="3" t="s">
        <v>192</v>
      </c>
    </row>
    <row r="27" spans="1:27" x14ac:dyDescent="0.3">
      <c r="A27" s="5">
        <v>26</v>
      </c>
      <c r="B27" s="5" t="str">
        <f>"201300133283"</f>
        <v>201300133283</v>
      </c>
      <c r="C27" s="5" t="str">
        <f>"16719"</f>
        <v>16719</v>
      </c>
      <c r="D27" s="5" t="s">
        <v>196</v>
      </c>
      <c r="E27" s="5">
        <v>20541210831</v>
      </c>
      <c r="F27" s="5" t="s">
        <v>197</v>
      </c>
      <c r="G27" s="5" t="s">
        <v>198</v>
      </c>
      <c r="H27" s="5" t="s">
        <v>30</v>
      </c>
      <c r="I27" s="5" t="s">
        <v>41</v>
      </c>
      <c r="J27" s="5" t="s">
        <v>42</v>
      </c>
      <c r="K27" s="5" t="s">
        <v>33</v>
      </c>
      <c r="L27" s="5" t="s">
        <v>51</v>
      </c>
      <c r="M27" s="5" t="s">
        <v>199</v>
      </c>
      <c r="N27" s="5" t="s">
        <v>200</v>
      </c>
      <c r="O27" s="5"/>
      <c r="P27" s="5"/>
      <c r="Q27" s="5"/>
      <c r="R27" s="5"/>
      <c r="S27" s="5"/>
      <c r="T27" s="5"/>
      <c r="U27" s="5"/>
      <c r="V27" s="5"/>
      <c r="W27" s="5"/>
      <c r="X27" s="5">
        <v>7000</v>
      </c>
      <c r="Y27" s="6">
        <v>41501</v>
      </c>
      <c r="Z27" s="5" t="s">
        <v>36</v>
      </c>
      <c r="AA27" s="5" t="s">
        <v>201</v>
      </c>
    </row>
    <row r="28" spans="1:27" ht="27.95" x14ac:dyDescent="0.3">
      <c r="A28" s="3">
        <v>27</v>
      </c>
      <c r="B28" s="3" t="str">
        <f>"201800155478"</f>
        <v>201800155478</v>
      </c>
      <c r="C28" s="3" t="str">
        <f>"138693"</f>
        <v>138693</v>
      </c>
      <c r="D28" s="3" t="s">
        <v>202</v>
      </c>
      <c r="E28" s="3">
        <v>20541244817</v>
      </c>
      <c r="F28" s="3" t="s">
        <v>28</v>
      </c>
      <c r="G28" s="3" t="s">
        <v>203</v>
      </c>
      <c r="H28" s="3" t="s">
        <v>30</v>
      </c>
      <c r="I28" s="3" t="s">
        <v>31</v>
      </c>
      <c r="J28" s="3" t="s">
        <v>204</v>
      </c>
      <c r="K28" s="3" t="s">
        <v>33</v>
      </c>
      <c r="L28" s="3" t="s">
        <v>34</v>
      </c>
      <c r="M28" s="3" t="s">
        <v>58</v>
      </c>
      <c r="N28" s="3" t="s">
        <v>58</v>
      </c>
      <c r="O28" s="3" t="s">
        <v>58</v>
      </c>
      <c r="P28" s="3"/>
      <c r="Q28" s="3"/>
      <c r="R28" s="3"/>
      <c r="S28" s="3"/>
      <c r="T28" s="3"/>
      <c r="U28" s="3"/>
      <c r="V28" s="3"/>
      <c r="W28" s="3"/>
      <c r="X28" s="3">
        <v>20000</v>
      </c>
      <c r="Y28" s="4">
        <v>43364</v>
      </c>
      <c r="Z28" s="3" t="s">
        <v>36</v>
      </c>
      <c r="AA28" s="3" t="s">
        <v>37</v>
      </c>
    </row>
    <row r="29" spans="1:27" ht="41.95" x14ac:dyDescent="0.3">
      <c r="A29" s="5">
        <v>28</v>
      </c>
      <c r="B29" s="5" t="str">
        <f>"1486313"</f>
        <v>1486313</v>
      </c>
      <c r="C29" s="5" t="str">
        <f>"20985"</f>
        <v>20985</v>
      </c>
      <c r="D29" s="5" t="s">
        <v>205</v>
      </c>
      <c r="E29" s="5">
        <v>20493421876</v>
      </c>
      <c r="F29" s="5" t="s">
        <v>179</v>
      </c>
      <c r="G29" s="5" t="s">
        <v>206</v>
      </c>
      <c r="H29" s="5" t="s">
        <v>30</v>
      </c>
      <c r="I29" s="5" t="s">
        <v>41</v>
      </c>
      <c r="J29" s="5" t="s">
        <v>118</v>
      </c>
      <c r="K29" s="5" t="s">
        <v>33</v>
      </c>
      <c r="L29" s="5" t="s">
        <v>207</v>
      </c>
      <c r="M29" s="5" t="s">
        <v>58</v>
      </c>
      <c r="N29" s="5" t="s">
        <v>58</v>
      </c>
      <c r="O29" s="5" t="s">
        <v>34</v>
      </c>
      <c r="P29" s="5"/>
      <c r="Q29" s="5"/>
      <c r="R29" s="5"/>
      <c r="S29" s="5"/>
      <c r="T29" s="5"/>
      <c r="U29" s="5"/>
      <c r="V29" s="5"/>
      <c r="W29" s="5"/>
      <c r="X29" s="5">
        <v>20000</v>
      </c>
      <c r="Y29" s="6">
        <v>40715</v>
      </c>
      <c r="Z29" s="5" t="s">
        <v>36</v>
      </c>
      <c r="AA29" s="5" t="s">
        <v>208</v>
      </c>
    </row>
    <row r="30" spans="1:27" ht="27.95" x14ac:dyDescent="0.3">
      <c r="A30" s="3">
        <v>29</v>
      </c>
      <c r="B30" s="3" t="str">
        <f>"201800044981"</f>
        <v>201800044981</v>
      </c>
      <c r="C30" s="3" t="str">
        <f>"135092"</f>
        <v>135092</v>
      </c>
      <c r="D30" s="3" t="s">
        <v>209</v>
      </c>
      <c r="E30" s="3">
        <v>20601497540</v>
      </c>
      <c r="F30" s="3" t="s">
        <v>210</v>
      </c>
      <c r="G30" s="3" t="s">
        <v>211</v>
      </c>
      <c r="H30" s="3" t="s">
        <v>30</v>
      </c>
      <c r="I30" s="3" t="s">
        <v>41</v>
      </c>
      <c r="J30" s="3" t="s">
        <v>212</v>
      </c>
      <c r="K30" s="3" t="s">
        <v>33</v>
      </c>
      <c r="L30" s="3" t="s">
        <v>213</v>
      </c>
      <c r="M30" s="3" t="s">
        <v>213</v>
      </c>
      <c r="N30" s="3" t="s">
        <v>214</v>
      </c>
      <c r="O30" s="3" t="s">
        <v>214</v>
      </c>
      <c r="P30" s="3"/>
      <c r="Q30" s="3"/>
      <c r="R30" s="3"/>
      <c r="S30" s="3"/>
      <c r="T30" s="3"/>
      <c r="U30" s="3"/>
      <c r="V30" s="3"/>
      <c r="W30" s="3"/>
      <c r="X30" s="3">
        <v>19400</v>
      </c>
      <c r="Y30" s="4">
        <v>43180</v>
      </c>
      <c r="Z30" s="3" t="s">
        <v>36</v>
      </c>
      <c r="AA30" s="3" t="s">
        <v>215</v>
      </c>
    </row>
    <row r="31" spans="1:27" ht="27.95" x14ac:dyDescent="0.3">
      <c r="A31" s="5">
        <v>30</v>
      </c>
      <c r="B31" s="5" t="str">
        <f>"201700201759"</f>
        <v>201700201759</v>
      </c>
      <c r="C31" s="5" t="str">
        <f>"117933"</f>
        <v>117933</v>
      </c>
      <c r="D31" s="5" t="s">
        <v>216</v>
      </c>
      <c r="E31" s="5">
        <v>20601887828</v>
      </c>
      <c r="F31" s="5" t="s">
        <v>217</v>
      </c>
      <c r="G31" s="5" t="s">
        <v>218</v>
      </c>
      <c r="H31" s="5" t="s">
        <v>30</v>
      </c>
      <c r="I31" s="5" t="s">
        <v>41</v>
      </c>
      <c r="J31" s="5" t="s">
        <v>118</v>
      </c>
      <c r="K31" s="5" t="s">
        <v>33</v>
      </c>
      <c r="L31" s="5" t="s">
        <v>219</v>
      </c>
      <c r="M31" s="5" t="s">
        <v>220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>
        <v>9710</v>
      </c>
      <c r="Y31" s="6">
        <v>43070</v>
      </c>
      <c r="Z31" s="5" t="s">
        <v>36</v>
      </c>
      <c r="AA31" s="5" t="s">
        <v>221</v>
      </c>
    </row>
    <row r="32" spans="1:27" ht="27.95" x14ac:dyDescent="0.3">
      <c r="A32" s="3">
        <v>31</v>
      </c>
      <c r="B32" s="3" t="str">
        <f>"201800152305"</f>
        <v>201800152305</v>
      </c>
      <c r="C32" s="3" t="str">
        <f>"135826"</f>
        <v>135826</v>
      </c>
      <c r="D32" s="3" t="s">
        <v>222</v>
      </c>
      <c r="E32" s="3">
        <v>20525798217</v>
      </c>
      <c r="F32" s="3" t="s">
        <v>223</v>
      </c>
      <c r="G32" s="3" t="s">
        <v>64</v>
      </c>
      <c r="H32" s="3" t="s">
        <v>65</v>
      </c>
      <c r="I32" s="3" t="s">
        <v>66</v>
      </c>
      <c r="J32" s="3" t="s">
        <v>66</v>
      </c>
      <c r="K32" s="3" t="s">
        <v>33</v>
      </c>
      <c r="L32" s="3" t="s">
        <v>224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>
        <v>12000</v>
      </c>
      <c r="Y32" s="4">
        <v>43361</v>
      </c>
      <c r="Z32" s="3" t="s">
        <v>36</v>
      </c>
      <c r="AA32" s="3" t="s">
        <v>225</v>
      </c>
    </row>
    <row r="33" spans="1:27" ht="27.95" x14ac:dyDescent="0.3">
      <c r="A33" s="5">
        <v>32</v>
      </c>
      <c r="B33" s="5" t="str">
        <f>"201900007545"</f>
        <v>201900007545</v>
      </c>
      <c r="C33" s="5" t="str">
        <f>"128337"</f>
        <v>128337</v>
      </c>
      <c r="D33" s="5" t="s">
        <v>226</v>
      </c>
      <c r="E33" s="5">
        <v>20602517129</v>
      </c>
      <c r="F33" s="5" t="s">
        <v>88</v>
      </c>
      <c r="G33" s="5" t="s">
        <v>227</v>
      </c>
      <c r="H33" s="5" t="s">
        <v>30</v>
      </c>
      <c r="I33" s="5" t="s">
        <v>228</v>
      </c>
      <c r="J33" s="5" t="s">
        <v>229</v>
      </c>
      <c r="K33" s="5" t="s">
        <v>33</v>
      </c>
      <c r="L33" s="5" t="s">
        <v>91</v>
      </c>
      <c r="M33" s="5" t="s">
        <v>92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>
        <v>12000</v>
      </c>
      <c r="Y33" s="6">
        <v>43486</v>
      </c>
      <c r="Z33" s="5" t="s">
        <v>36</v>
      </c>
      <c r="AA33" s="5" t="s">
        <v>93</v>
      </c>
    </row>
    <row r="34" spans="1:27" ht="27.95" x14ac:dyDescent="0.3">
      <c r="A34" s="3">
        <v>33</v>
      </c>
      <c r="B34" s="3" t="str">
        <f>"202000057373"</f>
        <v>202000057373</v>
      </c>
      <c r="C34" s="3" t="str">
        <f>"33875"</f>
        <v>33875</v>
      </c>
      <c r="D34" s="3" t="s">
        <v>230</v>
      </c>
      <c r="E34" s="3">
        <v>20483803797</v>
      </c>
      <c r="F34" s="3" t="s">
        <v>231</v>
      </c>
      <c r="G34" s="3" t="s">
        <v>232</v>
      </c>
      <c r="H34" s="3" t="s">
        <v>65</v>
      </c>
      <c r="I34" s="3" t="s">
        <v>66</v>
      </c>
      <c r="J34" s="3" t="s">
        <v>66</v>
      </c>
      <c r="K34" s="3" t="s">
        <v>33</v>
      </c>
      <c r="L34" s="3" t="s">
        <v>233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>
        <v>8000</v>
      </c>
      <c r="Y34" s="4">
        <v>43971</v>
      </c>
      <c r="Z34" s="3" t="s">
        <v>36</v>
      </c>
      <c r="AA34" s="3" t="s">
        <v>234</v>
      </c>
    </row>
    <row r="35" spans="1:27" ht="27.95" x14ac:dyDescent="0.3">
      <c r="A35" s="5">
        <v>34</v>
      </c>
      <c r="B35" s="5" t="str">
        <f>"201400102140"</f>
        <v>201400102140</v>
      </c>
      <c r="C35" s="5" t="str">
        <f>"20986"</f>
        <v>20986</v>
      </c>
      <c r="D35" s="5" t="s">
        <v>235</v>
      </c>
      <c r="E35" s="5">
        <v>20542327481</v>
      </c>
      <c r="F35" s="5" t="s">
        <v>236</v>
      </c>
      <c r="G35" s="5" t="s">
        <v>237</v>
      </c>
      <c r="H35" s="5" t="s">
        <v>30</v>
      </c>
      <c r="I35" s="5" t="s">
        <v>162</v>
      </c>
      <c r="J35" s="5" t="s">
        <v>238</v>
      </c>
      <c r="K35" s="5" t="s">
        <v>33</v>
      </c>
      <c r="L35" s="5" t="s">
        <v>239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>
        <v>9500</v>
      </c>
      <c r="Y35" s="6">
        <v>41860</v>
      </c>
      <c r="Z35" s="5" t="s">
        <v>36</v>
      </c>
      <c r="AA35" s="5" t="s">
        <v>240</v>
      </c>
    </row>
    <row r="36" spans="1:27" ht="27.95" x14ac:dyDescent="0.3">
      <c r="A36" s="3">
        <v>35</v>
      </c>
      <c r="B36" s="3" t="str">
        <f>"202000015389"</f>
        <v>202000015389</v>
      </c>
      <c r="C36" s="3" t="str">
        <f>"148964"</f>
        <v>148964</v>
      </c>
      <c r="D36" s="3" t="s">
        <v>241</v>
      </c>
      <c r="E36" s="3">
        <v>20493935802</v>
      </c>
      <c r="F36" s="3" t="s">
        <v>242</v>
      </c>
      <c r="G36" s="3" t="s">
        <v>243</v>
      </c>
      <c r="H36" s="3" t="s">
        <v>30</v>
      </c>
      <c r="I36" s="3" t="s">
        <v>194</v>
      </c>
      <c r="J36" s="3" t="s">
        <v>244</v>
      </c>
      <c r="K36" s="3" t="s">
        <v>33</v>
      </c>
      <c r="L36" s="3" t="s">
        <v>34</v>
      </c>
      <c r="M36" s="3" t="s">
        <v>245</v>
      </c>
      <c r="N36" s="3" t="s">
        <v>35</v>
      </c>
      <c r="O36" s="3" t="s">
        <v>35</v>
      </c>
      <c r="P36" s="3" t="s">
        <v>35</v>
      </c>
      <c r="Q36" s="3"/>
      <c r="R36" s="3"/>
      <c r="S36" s="3"/>
      <c r="T36" s="3"/>
      <c r="U36" s="3"/>
      <c r="V36" s="3"/>
      <c r="W36" s="3"/>
      <c r="X36" s="3">
        <v>40900</v>
      </c>
      <c r="Y36" s="4">
        <v>43862</v>
      </c>
      <c r="Z36" s="3" t="s">
        <v>36</v>
      </c>
      <c r="AA36" s="3" t="s">
        <v>37</v>
      </c>
    </row>
    <row r="37" spans="1:27" ht="27.95" x14ac:dyDescent="0.3">
      <c r="A37" s="5">
        <v>36</v>
      </c>
      <c r="B37" s="5" t="str">
        <f>"201900172873"</f>
        <v>201900172873</v>
      </c>
      <c r="C37" s="5" t="str">
        <f>"14763"</f>
        <v>14763</v>
      </c>
      <c r="D37" s="5" t="s">
        <v>246</v>
      </c>
      <c r="E37" s="5">
        <v>10055839234</v>
      </c>
      <c r="F37" s="5" t="s">
        <v>247</v>
      </c>
      <c r="G37" s="5" t="s">
        <v>248</v>
      </c>
      <c r="H37" s="5" t="s">
        <v>30</v>
      </c>
      <c r="I37" s="5" t="s">
        <v>162</v>
      </c>
      <c r="J37" s="5" t="s">
        <v>238</v>
      </c>
      <c r="K37" s="5" t="s">
        <v>33</v>
      </c>
      <c r="L37" s="5" t="s">
        <v>249</v>
      </c>
      <c r="M37" s="5" t="s">
        <v>250</v>
      </c>
      <c r="N37" s="5" t="s">
        <v>251</v>
      </c>
      <c r="O37" s="5"/>
      <c r="P37" s="5"/>
      <c r="Q37" s="5"/>
      <c r="R37" s="5"/>
      <c r="S37" s="5"/>
      <c r="T37" s="5"/>
      <c r="U37" s="5"/>
      <c r="V37" s="5"/>
      <c r="W37" s="5"/>
      <c r="X37" s="5">
        <v>2600</v>
      </c>
      <c r="Y37" s="6">
        <v>43767</v>
      </c>
      <c r="Z37" s="5" t="s">
        <v>36</v>
      </c>
      <c r="AA37" s="5" t="s">
        <v>247</v>
      </c>
    </row>
    <row r="38" spans="1:27" x14ac:dyDescent="0.3">
      <c r="A38" s="3">
        <v>37</v>
      </c>
      <c r="B38" s="3" t="str">
        <f>"201800097515"</f>
        <v>201800097515</v>
      </c>
      <c r="C38" s="3" t="str">
        <f>"136873"</f>
        <v>136873</v>
      </c>
      <c r="D38" s="3" t="s">
        <v>252</v>
      </c>
      <c r="E38" s="3">
        <v>20394066240</v>
      </c>
      <c r="F38" s="3" t="s">
        <v>253</v>
      </c>
      <c r="G38" s="3" t="s">
        <v>254</v>
      </c>
      <c r="H38" s="3" t="s">
        <v>80</v>
      </c>
      <c r="I38" s="3" t="s">
        <v>81</v>
      </c>
      <c r="J38" s="3" t="s">
        <v>82</v>
      </c>
      <c r="K38" s="3" t="s">
        <v>33</v>
      </c>
      <c r="L38" s="3" t="s">
        <v>255</v>
      </c>
      <c r="M38" s="3" t="s">
        <v>256</v>
      </c>
      <c r="N38" s="3" t="s">
        <v>256</v>
      </c>
      <c r="O38" s="3" t="s">
        <v>255</v>
      </c>
      <c r="P38" s="3"/>
      <c r="Q38" s="3"/>
      <c r="R38" s="3"/>
      <c r="S38" s="3"/>
      <c r="T38" s="3"/>
      <c r="U38" s="3"/>
      <c r="V38" s="3"/>
      <c r="W38" s="3"/>
      <c r="X38" s="3">
        <v>24964</v>
      </c>
      <c r="Y38" s="4">
        <v>43270</v>
      </c>
      <c r="Z38" s="3" t="s">
        <v>36</v>
      </c>
      <c r="AA38" s="3" t="s">
        <v>257</v>
      </c>
    </row>
    <row r="39" spans="1:27" x14ac:dyDescent="0.3">
      <c r="A39" s="5">
        <v>38</v>
      </c>
      <c r="B39" s="5" t="str">
        <f>"202000062220"</f>
        <v>202000062220</v>
      </c>
      <c r="C39" s="5" t="str">
        <f>"34560"</f>
        <v>34560</v>
      </c>
      <c r="D39" s="5" t="s">
        <v>258</v>
      </c>
      <c r="E39" s="5">
        <v>20604631379</v>
      </c>
      <c r="F39" s="5" t="s">
        <v>259</v>
      </c>
      <c r="G39" s="5" t="s">
        <v>260</v>
      </c>
      <c r="H39" s="5" t="s">
        <v>65</v>
      </c>
      <c r="I39" s="5" t="s">
        <v>66</v>
      </c>
      <c r="J39" s="5" t="s">
        <v>66</v>
      </c>
      <c r="K39" s="5" t="s">
        <v>33</v>
      </c>
      <c r="L39" s="5" t="s">
        <v>261</v>
      </c>
      <c r="M39" s="5" t="s">
        <v>261</v>
      </c>
      <c r="N39" s="5" t="s">
        <v>261</v>
      </c>
      <c r="O39" s="5" t="s">
        <v>261</v>
      </c>
      <c r="P39" s="5"/>
      <c r="Q39" s="5"/>
      <c r="R39" s="5"/>
      <c r="S39" s="5"/>
      <c r="T39" s="5"/>
      <c r="U39" s="5"/>
      <c r="V39" s="5"/>
      <c r="W39" s="5"/>
      <c r="X39" s="5">
        <v>10200</v>
      </c>
      <c r="Y39" s="6">
        <v>43988</v>
      </c>
      <c r="Z39" s="5" t="s">
        <v>36</v>
      </c>
      <c r="AA39" s="5" t="s">
        <v>262</v>
      </c>
    </row>
    <row r="40" spans="1:27" ht="27.95" x14ac:dyDescent="0.3">
      <c r="A40" s="3">
        <v>39</v>
      </c>
      <c r="B40" s="3" t="str">
        <f>"201600099509"</f>
        <v>201600099509</v>
      </c>
      <c r="C40" s="3" t="str">
        <f>"122558"</f>
        <v>122558</v>
      </c>
      <c r="D40" s="3" t="s">
        <v>263</v>
      </c>
      <c r="E40" s="3">
        <v>10277524118</v>
      </c>
      <c r="F40" s="3" t="s">
        <v>264</v>
      </c>
      <c r="G40" s="3" t="s">
        <v>265</v>
      </c>
      <c r="H40" s="3" t="s">
        <v>30</v>
      </c>
      <c r="I40" s="3" t="s">
        <v>162</v>
      </c>
      <c r="J40" s="3" t="s">
        <v>238</v>
      </c>
      <c r="K40" s="3" t="s">
        <v>33</v>
      </c>
      <c r="L40" s="3" t="s">
        <v>266</v>
      </c>
      <c r="M40" s="3" t="s">
        <v>266</v>
      </c>
      <c r="N40" s="3" t="s">
        <v>267</v>
      </c>
      <c r="O40" s="3" t="s">
        <v>267</v>
      </c>
      <c r="P40" s="3"/>
      <c r="Q40" s="3"/>
      <c r="R40" s="3"/>
      <c r="S40" s="3"/>
      <c r="T40" s="3"/>
      <c r="U40" s="3"/>
      <c r="V40" s="3"/>
      <c r="W40" s="3"/>
      <c r="X40" s="3">
        <v>6800</v>
      </c>
      <c r="Y40" s="4">
        <v>42571</v>
      </c>
      <c r="Z40" s="3" t="s">
        <v>36</v>
      </c>
      <c r="AA40" s="3" t="s">
        <v>264</v>
      </c>
    </row>
    <row r="41" spans="1:27" x14ac:dyDescent="0.3">
      <c r="A41" s="5">
        <v>40</v>
      </c>
      <c r="B41" s="5" t="str">
        <f>"202000120770"</f>
        <v>202000120770</v>
      </c>
      <c r="C41" s="5" t="str">
        <f>"18848"</f>
        <v>18848</v>
      </c>
      <c r="D41" s="5" t="s">
        <v>268</v>
      </c>
      <c r="E41" s="5">
        <v>20606416165</v>
      </c>
      <c r="F41" s="5" t="s">
        <v>269</v>
      </c>
      <c r="G41" s="5" t="s">
        <v>270</v>
      </c>
      <c r="H41" s="5" t="s">
        <v>30</v>
      </c>
      <c r="I41" s="5" t="s">
        <v>41</v>
      </c>
      <c r="J41" s="5" t="s">
        <v>42</v>
      </c>
      <c r="K41" s="5" t="s">
        <v>33</v>
      </c>
      <c r="L41" s="5" t="s">
        <v>271</v>
      </c>
      <c r="M41" s="5" t="s">
        <v>272</v>
      </c>
      <c r="N41" s="5" t="s">
        <v>273</v>
      </c>
      <c r="O41" s="5"/>
      <c r="P41" s="5"/>
      <c r="Q41" s="5"/>
      <c r="R41" s="5"/>
      <c r="S41" s="5"/>
      <c r="T41" s="5"/>
      <c r="U41" s="5"/>
      <c r="V41" s="5"/>
      <c r="W41" s="5"/>
      <c r="X41" s="5">
        <v>21396</v>
      </c>
      <c r="Y41" s="6">
        <v>44090</v>
      </c>
      <c r="Z41" s="5" t="s">
        <v>36</v>
      </c>
      <c r="AA41" s="5" t="s">
        <v>274</v>
      </c>
    </row>
    <row r="42" spans="1:27" x14ac:dyDescent="0.3">
      <c r="A42" s="3">
        <v>41</v>
      </c>
      <c r="B42" s="3" t="str">
        <f>"201900065378"</f>
        <v>201900065378</v>
      </c>
      <c r="C42" s="3" t="str">
        <f>"6947"</f>
        <v>6947</v>
      </c>
      <c r="D42" s="3" t="s">
        <v>275</v>
      </c>
      <c r="E42" s="3">
        <v>20600715993</v>
      </c>
      <c r="F42" s="3" t="s">
        <v>276</v>
      </c>
      <c r="G42" s="3" t="s">
        <v>277</v>
      </c>
      <c r="H42" s="3" t="s">
        <v>80</v>
      </c>
      <c r="I42" s="3" t="s">
        <v>81</v>
      </c>
      <c r="J42" s="3" t="s">
        <v>82</v>
      </c>
      <c r="K42" s="3" t="s">
        <v>33</v>
      </c>
      <c r="L42" s="3" t="s">
        <v>278</v>
      </c>
      <c r="M42" s="3" t="s">
        <v>278</v>
      </c>
      <c r="N42" s="3" t="s">
        <v>279</v>
      </c>
      <c r="O42" s="3" t="s">
        <v>279</v>
      </c>
      <c r="P42" s="3"/>
      <c r="Q42" s="3"/>
      <c r="R42" s="3"/>
      <c r="S42" s="3"/>
      <c r="T42" s="3"/>
      <c r="U42" s="3"/>
      <c r="V42" s="3"/>
      <c r="W42" s="3"/>
      <c r="X42" s="3">
        <v>15608</v>
      </c>
      <c r="Y42" s="4">
        <v>43579</v>
      </c>
      <c r="Z42" s="3" t="s">
        <v>36</v>
      </c>
      <c r="AA42" s="3" t="s">
        <v>280</v>
      </c>
    </row>
    <row r="43" spans="1:27" ht="27.95" x14ac:dyDescent="0.3">
      <c r="A43" s="5">
        <v>42</v>
      </c>
      <c r="B43" s="5" t="str">
        <f>"201800040307"</f>
        <v>201800040307</v>
      </c>
      <c r="C43" s="5" t="str">
        <f>"134337"</f>
        <v>134337</v>
      </c>
      <c r="D43" s="5" t="s">
        <v>281</v>
      </c>
      <c r="E43" s="5">
        <v>10048191679</v>
      </c>
      <c r="F43" s="5" t="s">
        <v>70</v>
      </c>
      <c r="G43" s="5" t="s">
        <v>282</v>
      </c>
      <c r="H43" s="5" t="s">
        <v>72</v>
      </c>
      <c r="I43" s="5" t="s">
        <v>73</v>
      </c>
      <c r="J43" s="5" t="s">
        <v>73</v>
      </c>
      <c r="K43" s="5" t="s">
        <v>33</v>
      </c>
      <c r="L43" s="5" t="s">
        <v>283</v>
      </c>
      <c r="M43" s="5" t="s">
        <v>283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>
        <v>18000</v>
      </c>
      <c r="Y43" s="6">
        <v>43173</v>
      </c>
      <c r="Z43" s="5" t="s">
        <v>36</v>
      </c>
      <c r="AA43" s="5" t="s">
        <v>70</v>
      </c>
    </row>
    <row r="44" spans="1:27" x14ac:dyDescent="0.3">
      <c r="A44" s="3">
        <v>43</v>
      </c>
      <c r="B44" s="3" t="str">
        <f>"202000054056"</f>
        <v>202000054056</v>
      </c>
      <c r="C44" s="3" t="str">
        <f>"111841"</f>
        <v>111841</v>
      </c>
      <c r="D44" s="3" t="s">
        <v>284</v>
      </c>
      <c r="E44" s="3">
        <v>20525481281</v>
      </c>
      <c r="F44" s="3" t="s">
        <v>285</v>
      </c>
      <c r="G44" s="3" t="s">
        <v>64</v>
      </c>
      <c r="H44" s="3" t="s">
        <v>65</v>
      </c>
      <c r="I44" s="3" t="s">
        <v>66</v>
      </c>
      <c r="J44" s="3" t="s">
        <v>66</v>
      </c>
      <c r="K44" s="3" t="s">
        <v>33</v>
      </c>
      <c r="L44" s="3" t="s">
        <v>286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>
        <v>12000</v>
      </c>
      <c r="Y44" s="4">
        <v>43956</v>
      </c>
      <c r="Z44" s="3" t="s">
        <v>36</v>
      </c>
      <c r="AA44" s="3" t="s">
        <v>287</v>
      </c>
    </row>
    <row r="45" spans="1:27" x14ac:dyDescent="0.3">
      <c r="A45" s="5">
        <v>44</v>
      </c>
      <c r="B45" s="5" t="str">
        <f>"202000054057"</f>
        <v>202000054057</v>
      </c>
      <c r="C45" s="5" t="str">
        <f>"133861"</f>
        <v>133861</v>
      </c>
      <c r="D45" s="5" t="s">
        <v>288</v>
      </c>
      <c r="E45" s="5">
        <v>10478428117</v>
      </c>
      <c r="F45" s="5" t="s">
        <v>289</v>
      </c>
      <c r="G45" s="5" t="s">
        <v>64</v>
      </c>
      <c r="H45" s="5" t="s">
        <v>65</v>
      </c>
      <c r="I45" s="5" t="s">
        <v>66</v>
      </c>
      <c r="J45" s="5" t="s">
        <v>66</v>
      </c>
      <c r="K45" s="5" t="s">
        <v>33</v>
      </c>
      <c r="L45" s="5" t="s">
        <v>290</v>
      </c>
      <c r="M45" s="5" t="s">
        <v>290</v>
      </c>
      <c r="N45" s="5" t="s">
        <v>291</v>
      </c>
      <c r="O45" s="5" t="s">
        <v>291</v>
      </c>
      <c r="P45" s="5" t="s">
        <v>290</v>
      </c>
      <c r="Q45" s="5" t="s">
        <v>290</v>
      </c>
      <c r="R45" s="5"/>
      <c r="S45" s="5"/>
      <c r="T45" s="5"/>
      <c r="U45" s="5"/>
      <c r="V45" s="5"/>
      <c r="W45" s="5"/>
      <c r="X45" s="5">
        <v>12000</v>
      </c>
      <c r="Y45" s="6">
        <v>43957</v>
      </c>
      <c r="Z45" s="5" t="s">
        <v>36</v>
      </c>
      <c r="AA45" s="5" t="s">
        <v>289</v>
      </c>
    </row>
    <row r="46" spans="1:27" x14ac:dyDescent="0.3">
      <c r="A46" s="3">
        <v>45</v>
      </c>
      <c r="B46" s="3" t="str">
        <f>"201800148425"</f>
        <v>201800148425</v>
      </c>
      <c r="C46" s="3" t="str">
        <f>"138180"</f>
        <v>138180</v>
      </c>
      <c r="D46" s="3" t="s">
        <v>292</v>
      </c>
      <c r="E46" s="3">
        <v>20602072305</v>
      </c>
      <c r="F46" s="3" t="s">
        <v>293</v>
      </c>
      <c r="G46" s="3" t="s">
        <v>294</v>
      </c>
      <c r="H46" s="3" t="s">
        <v>30</v>
      </c>
      <c r="I46" s="3" t="s">
        <v>41</v>
      </c>
      <c r="J46" s="3" t="s">
        <v>42</v>
      </c>
      <c r="K46" s="3" t="s">
        <v>33</v>
      </c>
      <c r="L46" s="3" t="s">
        <v>295</v>
      </c>
      <c r="M46" s="3" t="s">
        <v>296</v>
      </c>
      <c r="N46" s="3" t="s">
        <v>295</v>
      </c>
      <c r="O46" s="3"/>
      <c r="P46" s="3"/>
      <c r="Q46" s="3"/>
      <c r="R46" s="3"/>
      <c r="S46" s="3"/>
      <c r="T46" s="3"/>
      <c r="U46" s="3"/>
      <c r="V46" s="3"/>
      <c r="W46" s="3"/>
      <c r="X46" s="3">
        <v>10475</v>
      </c>
      <c r="Y46" s="4">
        <v>43356</v>
      </c>
      <c r="Z46" s="3" t="s">
        <v>36</v>
      </c>
      <c r="AA46" s="3" t="s">
        <v>297</v>
      </c>
    </row>
    <row r="47" spans="1:27" ht="27.95" x14ac:dyDescent="0.3">
      <c r="A47" s="5">
        <v>46</v>
      </c>
      <c r="B47" s="5" t="str">
        <f>"1480462"</f>
        <v>1480462</v>
      </c>
      <c r="C47" s="5" t="str">
        <f>"91597"</f>
        <v>91597</v>
      </c>
      <c r="D47" s="5" t="s">
        <v>298</v>
      </c>
      <c r="E47" s="5">
        <v>10058422555</v>
      </c>
      <c r="F47" s="5" t="s">
        <v>299</v>
      </c>
      <c r="G47" s="5" t="s">
        <v>300</v>
      </c>
      <c r="H47" s="5" t="s">
        <v>30</v>
      </c>
      <c r="I47" s="5" t="s">
        <v>30</v>
      </c>
      <c r="J47" s="5" t="s">
        <v>90</v>
      </c>
      <c r="K47" s="5" t="s">
        <v>33</v>
      </c>
      <c r="L47" s="5" t="s">
        <v>58</v>
      </c>
      <c r="M47" s="5" t="s">
        <v>58</v>
      </c>
      <c r="N47" s="5" t="s">
        <v>199</v>
      </c>
      <c r="O47" s="5" t="s">
        <v>199</v>
      </c>
      <c r="P47" s="5"/>
      <c r="Q47" s="5"/>
      <c r="R47" s="5"/>
      <c r="S47" s="5"/>
      <c r="T47" s="5"/>
      <c r="U47" s="5"/>
      <c r="V47" s="5"/>
      <c r="W47" s="5"/>
      <c r="X47" s="5">
        <v>15000</v>
      </c>
      <c r="Y47" s="6">
        <v>40679</v>
      </c>
      <c r="Z47" s="5" t="s">
        <v>36</v>
      </c>
      <c r="AA47" s="5" t="s">
        <v>299</v>
      </c>
    </row>
    <row r="48" spans="1:27" ht="55.9" x14ac:dyDescent="0.3">
      <c r="A48" s="3">
        <v>47</v>
      </c>
      <c r="B48" s="3" t="str">
        <f>"202000055621"</f>
        <v>202000055621</v>
      </c>
      <c r="C48" s="3" t="str">
        <f>"117106"</f>
        <v>117106</v>
      </c>
      <c r="D48" s="3" t="s">
        <v>301</v>
      </c>
      <c r="E48" s="3">
        <v>20484277401</v>
      </c>
      <c r="F48" s="3" t="s">
        <v>302</v>
      </c>
      <c r="G48" s="3" t="s">
        <v>64</v>
      </c>
      <c r="H48" s="3" t="s">
        <v>65</v>
      </c>
      <c r="I48" s="3" t="s">
        <v>66</v>
      </c>
      <c r="J48" s="3" t="s">
        <v>66</v>
      </c>
      <c r="K48" s="3" t="s">
        <v>33</v>
      </c>
      <c r="L48" s="3" t="s">
        <v>303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>
        <v>9999.9599999999991</v>
      </c>
      <c r="Y48" s="4">
        <v>43962</v>
      </c>
      <c r="Z48" s="3" t="s">
        <v>36</v>
      </c>
      <c r="AA48" s="3" t="s">
        <v>304</v>
      </c>
    </row>
    <row r="49" spans="1:27" x14ac:dyDescent="0.3">
      <c r="A49" s="5">
        <v>48</v>
      </c>
      <c r="B49" s="5" t="str">
        <f>"201500129822"</f>
        <v>201500129822</v>
      </c>
      <c r="C49" s="5" t="str">
        <f>"113061"</f>
        <v>113061</v>
      </c>
      <c r="D49" s="5" t="s">
        <v>305</v>
      </c>
      <c r="E49" s="5">
        <v>10057862977</v>
      </c>
      <c r="F49" s="5" t="s">
        <v>306</v>
      </c>
      <c r="G49" s="5" t="s">
        <v>307</v>
      </c>
      <c r="H49" s="5" t="s">
        <v>30</v>
      </c>
      <c r="I49" s="5" t="s">
        <v>31</v>
      </c>
      <c r="J49" s="5" t="s">
        <v>32</v>
      </c>
      <c r="K49" s="5" t="s">
        <v>33</v>
      </c>
      <c r="L49" s="5" t="s">
        <v>308</v>
      </c>
      <c r="M49" s="5" t="s">
        <v>308</v>
      </c>
      <c r="N49" s="5" t="s">
        <v>309</v>
      </c>
      <c r="O49" s="5" t="s">
        <v>310</v>
      </c>
      <c r="P49" s="5"/>
      <c r="Q49" s="5"/>
      <c r="R49" s="5"/>
      <c r="S49" s="5"/>
      <c r="T49" s="5"/>
      <c r="U49" s="5"/>
      <c r="V49" s="5"/>
      <c r="W49" s="5"/>
      <c r="X49" s="5">
        <v>41426</v>
      </c>
      <c r="Y49" s="6">
        <v>42332</v>
      </c>
      <c r="Z49" s="5" t="s">
        <v>36</v>
      </c>
      <c r="AA49" s="5" t="s">
        <v>306</v>
      </c>
    </row>
    <row r="50" spans="1:27" ht="27.95" x14ac:dyDescent="0.3">
      <c r="A50" s="3">
        <v>49</v>
      </c>
      <c r="B50" s="3" t="str">
        <f>"201900025426"</f>
        <v>201900025426</v>
      </c>
      <c r="C50" s="3" t="str">
        <f>"107589"</f>
        <v>107589</v>
      </c>
      <c r="D50" s="3" t="s">
        <v>311</v>
      </c>
      <c r="E50" s="3">
        <v>20567259979</v>
      </c>
      <c r="F50" s="3" t="s">
        <v>312</v>
      </c>
      <c r="G50" s="3" t="s">
        <v>313</v>
      </c>
      <c r="H50" s="3" t="s">
        <v>30</v>
      </c>
      <c r="I50" s="3" t="s">
        <v>80</v>
      </c>
      <c r="J50" s="3" t="s">
        <v>314</v>
      </c>
      <c r="K50" s="3" t="s">
        <v>33</v>
      </c>
      <c r="L50" s="3" t="s">
        <v>34</v>
      </c>
      <c r="M50" s="3" t="s">
        <v>58</v>
      </c>
      <c r="N50" s="3" t="s">
        <v>207</v>
      </c>
      <c r="O50" s="3" t="s">
        <v>58</v>
      </c>
      <c r="P50" s="3"/>
      <c r="Q50" s="3"/>
      <c r="R50" s="3"/>
      <c r="S50" s="3"/>
      <c r="T50" s="3"/>
      <c r="U50" s="3"/>
      <c r="V50" s="3"/>
      <c r="W50" s="3"/>
      <c r="X50" s="3">
        <v>20000</v>
      </c>
      <c r="Y50" s="4">
        <v>43518</v>
      </c>
      <c r="Z50" s="3" t="s">
        <v>36</v>
      </c>
      <c r="AA50" s="3" t="s">
        <v>184</v>
      </c>
    </row>
    <row r="51" spans="1:27" ht="27.95" x14ac:dyDescent="0.3">
      <c r="A51" s="5">
        <v>50</v>
      </c>
      <c r="B51" s="5" t="str">
        <f>"201900031449"</f>
        <v>201900031449</v>
      </c>
      <c r="C51" s="5" t="str">
        <f>"121811"</f>
        <v>121811</v>
      </c>
      <c r="D51" s="5" t="s">
        <v>315</v>
      </c>
      <c r="E51" s="5">
        <v>20602933106</v>
      </c>
      <c r="F51" s="5" t="s">
        <v>316</v>
      </c>
      <c r="G51" s="5" t="s">
        <v>317</v>
      </c>
      <c r="H51" s="5" t="s">
        <v>318</v>
      </c>
      <c r="I51" s="5" t="s">
        <v>318</v>
      </c>
      <c r="J51" s="5" t="s">
        <v>319</v>
      </c>
      <c r="K51" s="5" t="s">
        <v>33</v>
      </c>
      <c r="L51" s="5" t="s">
        <v>320</v>
      </c>
      <c r="M51" s="5" t="s">
        <v>320</v>
      </c>
      <c r="N51" s="5" t="s">
        <v>320</v>
      </c>
      <c r="O51" s="5" t="s">
        <v>320</v>
      </c>
      <c r="P51" s="5" t="s">
        <v>321</v>
      </c>
      <c r="Q51" s="5" t="s">
        <v>322</v>
      </c>
      <c r="R51" s="5"/>
      <c r="S51" s="5"/>
      <c r="T51" s="5"/>
      <c r="U51" s="5"/>
      <c r="V51" s="5"/>
      <c r="W51" s="5"/>
      <c r="X51" s="5">
        <v>60000</v>
      </c>
      <c r="Y51" s="6">
        <v>43524</v>
      </c>
      <c r="Z51" s="5" t="s">
        <v>36</v>
      </c>
      <c r="AA51" s="5" t="s">
        <v>323</v>
      </c>
    </row>
    <row r="52" spans="1:27" x14ac:dyDescent="0.3">
      <c r="A52" s="3">
        <v>51</v>
      </c>
      <c r="B52" s="3" t="str">
        <f>"201800213183"</f>
        <v>201800213183</v>
      </c>
      <c r="C52" s="3" t="str">
        <f>"108214"</f>
        <v>108214</v>
      </c>
      <c r="D52" s="3" t="s">
        <v>324</v>
      </c>
      <c r="E52" s="3">
        <v>20450948986</v>
      </c>
      <c r="F52" s="3" t="s">
        <v>100</v>
      </c>
      <c r="G52" s="3" t="s">
        <v>325</v>
      </c>
      <c r="H52" s="3" t="s">
        <v>30</v>
      </c>
      <c r="I52" s="3" t="s">
        <v>41</v>
      </c>
      <c r="J52" s="3" t="s">
        <v>42</v>
      </c>
      <c r="K52" s="3" t="s">
        <v>33</v>
      </c>
      <c r="L52" s="3" t="s">
        <v>326</v>
      </c>
      <c r="M52" s="3" t="s">
        <v>327</v>
      </c>
      <c r="N52" s="3" t="s">
        <v>327</v>
      </c>
      <c r="O52" s="3" t="s">
        <v>327</v>
      </c>
      <c r="P52" s="3"/>
      <c r="Q52" s="3"/>
      <c r="R52" s="3"/>
      <c r="S52" s="3"/>
      <c r="T52" s="3"/>
      <c r="U52" s="3"/>
      <c r="V52" s="3"/>
      <c r="W52" s="3"/>
      <c r="X52" s="3">
        <v>41612</v>
      </c>
      <c r="Y52" s="4">
        <v>43465</v>
      </c>
      <c r="Z52" s="3" t="s">
        <v>36</v>
      </c>
      <c r="AA52" s="3" t="s">
        <v>328</v>
      </c>
    </row>
    <row r="53" spans="1:27" ht="27.95" x14ac:dyDescent="0.3">
      <c r="A53" s="5">
        <v>52</v>
      </c>
      <c r="B53" s="5" t="str">
        <f>"201900205147"</f>
        <v>201900205147</v>
      </c>
      <c r="C53" s="5" t="str">
        <f>"119783"</f>
        <v>119783</v>
      </c>
      <c r="D53" s="5" t="s">
        <v>329</v>
      </c>
      <c r="E53" s="5">
        <v>20528229477</v>
      </c>
      <c r="F53" s="5" t="s">
        <v>330</v>
      </c>
      <c r="G53" s="5" t="s">
        <v>331</v>
      </c>
      <c r="H53" s="5" t="s">
        <v>30</v>
      </c>
      <c r="I53" s="5" t="s">
        <v>31</v>
      </c>
      <c r="J53" s="5" t="s">
        <v>32</v>
      </c>
      <c r="K53" s="5" t="s">
        <v>33</v>
      </c>
      <c r="L53" s="5" t="s">
        <v>188</v>
      </c>
      <c r="M53" s="5" t="s">
        <v>189</v>
      </c>
      <c r="N53" s="5" t="s">
        <v>189</v>
      </c>
      <c r="O53" s="5" t="s">
        <v>189</v>
      </c>
      <c r="P53" s="5" t="s">
        <v>189</v>
      </c>
      <c r="Q53" s="5" t="s">
        <v>189</v>
      </c>
      <c r="R53" s="5"/>
      <c r="S53" s="5"/>
      <c r="T53" s="5"/>
      <c r="U53" s="5"/>
      <c r="V53" s="5"/>
      <c r="W53" s="5"/>
      <c r="X53" s="5">
        <v>27600</v>
      </c>
      <c r="Y53" s="6">
        <v>43813</v>
      </c>
      <c r="Z53" s="5" t="s">
        <v>36</v>
      </c>
      <c r="AA53" s="5" t="s">
        <v>332</v>
      </c>
    </row>
    <row r="54" spans="1:27" x14ac:dyDescent="0.3">
      <c r="A54" s="3">
        <v>53</v>
      </c>
      <c r="B54" s="3" t="str">
        <f>"201700196990"</f>
        <v>201700196990</v>
      </c>
      <c r="C54" s="3" t="str">
        <f>"17846"</f>
        <v>17846</v>
      </c>
      <c r="D54" s="3" t="s">
        <v>333</v>
      </c>
      <c r="E54" s="3">
        <v>20451423704</v>
      </c>
      <c r="F54" s="3" t="s">
        <v>334</v>
      </c>
      <c r="G54" s="3" t="s">
        <v>335</v>
      </c>
      <c r="H54" s="3" t="s">
        <v>30</v>
      </c>
      <c r="I54" s="3" t="s">
        <v>41</v>
      </c>
      <c r="J54" s="3" t="s">
        <v>42</v>
      </c>
      <c r="K54" s="3" t="s">
        <v>33</v>
      </c>
      <c r="L54" s="3" t="s">
        <v>137</v>
      </c>
      <c r="M54" s="3" t="s">
        <v>137</v>
      </c>
      <c r="N54" s="3" t="s">
        <v>138</v>
      </c>
      <c r="O54" s="3" t="s">
        <v>139</v>
      </c>
      <c r="P54" s="3" t="s">
        <v>139</v>
      </c>
      <c r="Q54" s="3"/>
      <c r="R54" s="3"/>
      <c r="S54" s="3"/>
      <c r="T54" s="3"/>
      <c r="U54" s="3"/>
      <c r="V54" s="3"/>
      <c r="W54" s="3"/>
      <c r="X54" s="3">
        <v>32000</v>
      </c>
      <c r="Y54" s="4">
        <v>43062</v>
      </c>
      <c r="Z54" s="3" t="s">
        <v>36</v>
      </c>
      <c r="AA54" s="3" t="s">
        <v>140</v>
      </c>
    </row>
    <row r="55" spans="1:27" x14ac:dyDescent="0.3">
      <c r="A55" s="5">
        <v>54</v>
      </c>
      <c r="B55" s="5" t="str">
        <f>"201400108272"</f>
        <v>201400108272</v>
      </c>
      <c r="C55" s="5" t="str">
        <f>"110595"</f>
        <v>110595</v>
      </c>
      <c r="D55" s="5" t="s">
        <v>336</v>
      </c>
      <c r="E55" s="5">
        <v>20352474160</v>
      </c>
      <c r="F55" s="5" t="s">
        <v>337</v>
      </c>
      <c r="G55" s="5" t="s">
        <v>338</v>
      </c>
      <c r="H55" s="5" t="s">
        <v>80</v>
      </c>
      <c r="I55" s="5" t="s">
        <v>81</v>
      </c>
      <c r="J55" s="5" t="s">
        <v>82</v>
      </c>
      <c r="K55" s="5" t="s">
        <v>33</v>
      </c>
      <c r="L55" s="5" t="s">
        <v>339</v>
      </c>
      <c r="M55" s="5" t="s">
        <v>339</v>
      </c>
      <c r="N55" s="5" t="s">
        <v>340</v>
      </c>
      <c r="O55" s="5" t="s">
        <v>341</v>
      </c>
      <c r="P55" s="5" t="s">
        <v>342</v>
      </c>
      <c r="Q55" s="5" t="s">
        <v>342</v>
      </c>
      <c r="R55" s="5"/>
      <c r="S55" s="5"/>
      <c r="T55" s="5"/>
      <c r="U55" s="5"/>
      <c r="V55" s="5"/>
      <c r="W55" s="5"/>
      <c r="X55" s="5">
        <v>28771</v>
      </c>
      <c r="Y55" s="6">
        <v>41884</v>
      </c>
      <c r="Z55" s="5" t="s">
        <v>36</v>
      </c>
      <c r="AA55" s="5" t="s">
        <v>343</v>
      </c>
    </row>
    <row r="56" spans="1:27" ht="27.95" x14ac:dyDescent="0.3">
      <c r="A56" s="3">
        <v>55</v>
      </c>
      <c r="B56" s="3" t="str">
        <f>"201800050966"</f>
        <v>201800050966</v>
      </c>
      <c r="C56" s="3" t="str">
        <f>"87775"</f>
        <v>87775</v>
      </c>
      <c r="D56" s="3" t="s">
        <v>344</v>
      </c>
      <c r="E56" s="3">
        <v>20567221653</v>
      </c>
      <c r="F56" s="3" t="s">
        <v>345</v>
      </c>
      <c r="G56" s="3" t="s">
        <v>346</v>
      </c>
      <c r="H56" s="3" t="s">
        <v>30</v>
      </c>
      <c r="I56" s="3" t="s">
        <v>31</v>
      </c>
      <c r="J56" s="3" t="s">
        <v>204</v>
      </c>
      <c r="K56" s="3" t="s">
        <v>33</v>
      </c>
      <c r="L56" s="3" t="s">
        <v>34</v>
      </c>
      <c r="M56" s="3" t="s">
        <v>58</v>
      </c>
      <c r="N56" s="3" t="s">
        <v>58</v>
      </c>
      <c r="O56" s="3" t="s">
        <v>58</v>
      </c>
      <c r="P56" s="3"/>
      <c r="Q56" s="3"/>
      <c r="R56" s="3"/>
      <c r="S56" s="3"/>
      <c r="T56" s="3"/>
      <c r="U56" s="3"/>
      <c r="V56" s="3"/>
      <c r="W56" s="3"/>
      <c r="X56" s="3">
        <v>20000</v>
      </c>
      <c r="Y56" s="4">
        <v>43200</v>
      </c>
      <c r="Z56" s="3" t="s">
        <v>36</v>
      </c>
      <c r="AA56" s="3" t="s">
        <v>347</v>
      </c>
    </row>
    <row r="57" spans="1:27" x14ac:dyDescent="0.3">
      <c r="A57" s="5">
        <v>56</v>
      </c>
      <c r="B57" s="5" t="str">
        <f>"202000148707"</f>
        <v>202000148707</v>
      </c>
      <c r="C57" s="5" t="str">
        <f>"85854"</f>
        <v>85854</v>
      </c>
      <c r="D57" s="5" t="s">
        <v>348</v>
      </c>
      <c r="E57" s="5">
        <v>20393560071</v>
      </c>
      <c r="F57" s="5" t="s">
        <v>349</v>
      </c>
      <c r="G57" s="5" t="s">
        <v>350</v>
      </c>
      <c r="H57" s="5" t="s">
        <v>80</v>
      </c>
      <c r="I57" s="5" t="s">
        <v>81</v>
      </c>
      <c r="J57" s="5" t="s">
        <v>82</v>
      </c>
      <c r="K57" s="5" t="s">
        <v>33</v>
      </c>
      <c r="L57" s="5" t="s">
        <v>113</v>
      </c>
      <c r="M57" s="5" t="s">
        <v>113</v>
      </c>
      <c r="N57" s="5" t="s">
        <v>113</v>
      </c>
      <c r="O57" s="5" t="s">
        <v>113</v>
      </c>
      <c r="P57" s="5" t="s">
        <v>114</v>
      </c>
      <c r="Q57" s="5" t="s">
        <v>114</v>
      </c>
      <c r="R57" s="5" t="s">
        <v>113</v>
      </c>
      <c r="S57" s="5" t="s">
        <v>113</v>
      </c>
      <c r="T57" s="5"/>
      <c r="U57" s="5"/>
      <c r="V57" s="5"/>
      <c r="W57" s="5"/>
      <c r="X57" s="5">
        <v>24000</v>
      </c>
      <c r="Y57" s="6">
        <v>44131</v>
      </c>
      <c r="Z57" s="5" t="s">
        <v>36</v>
      </c>
      <c r="AA57" s="5" t="s">
        <v>351</v>
      </c>
    </row>
    <row r="58" spans="1:27" ht="27.95" x14ac:dyDescent="0.3">
      <c r="A58" s="3">
        <v>57</v>
      </c>
      <c r="B58" s="3" t="str">
        <f>"201900162297"</f>
        <v>201900162297</v>
      </c>
      <c r="C58" s="3" t="str">
        <f>"146976"</f>
        <v>146976</v>
      </c>
      <c r="D58" s="3" t="s">
        <v>352</v>
      </c>
      <c r="E58" s="3">
        <v>20493780507</v>
      </c>
      <c r="F58" s="3" t="s">
        <v>353</v>
      </c>
      <c r="G58" s="3" t="s">
        <v>354</v>
      </c>
      <c r="H58" s="3" t="s">
        <v>30</v>
      </c>
      <c r="I58" s="3" t="s">
        <v>194</v>
      </c>
      <c r="J58" s="3" t="s">
        <v>195</v>
      </c>
      <c r="K58" s="3" t="s">
        <v>33</v>
      </c>
      <c r="L58" s="3" t="s">
        <v>34</v>
      </c>
      <c r="M58" s="3" t="s">
        <v>58</v>
      </c>
      <c r="N58" s="3" t="s">
        <v>58</v>
      </c>
      <c r="O58" s="3" t="s">
        <v>58</v>
      </c>
      <c r="P58" s="3"/>
      <c r="Q58" s="3"/>
      <c r="R58" s="3"/>
      <c r="S58" s="3"/>
      <c r="T58" s="3"/>
      <c r="U58" s="3"/>
      <c r="V58" s="3"/>
      <c r="W58" s="3"/>
      <c r="X58" s="3">
        <v>20000</v>
      </c>
      <c r="Y58" s="4">
        <v>43747</v>
      </c>
      <c r="Z58" s="3" t="s">
        <v>36</v>
      </c>
      <c r="AA58" s="3" t="s">
        <v>355</v>
      </c>
    </row>
    <row r="59" spans="1:27" x14ac:dyDescent="0.3">
      <c r="A59" s="5">
        <v>58</v>
      </c>
      <c r="B59" s="5" t="str">
        <f>"202000056466"</f>
        <v>202000056466</v>
      </c>
      <c r="C59" s="5" t="str">
        <f>"147749"</f>
        <v>147749</v>
      </c>
      <c r="D59" s="5" t="s">
        <v>356</v>
      </c>
      <c r="E59" s="5">
        <v>20526667167</v>
      </c>
      <c r="F59" s="5" t="s">
        <v>357</v>
      </c>
      <c r="G59" s="5" t="s">
        <v>358</v>
      </c>
      <c r="H59" s="5" t="s">
        <v>65</v>
      </c>
      <c r="I59" s="5" t="s">
        <v>359</v>
      </c>
      <c r="J59" s="5" t="s">
        <v>359</v>
      </c>
      <c r="K59" s="5" t="s">
        <v>33</v>
      </c>
      <c r="L59" s="5" t="s">
        <v>360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>
        <v>5100</v>
      </c>
      <c r="Y59" s="6">
        <v>43967</v>
      </c>
      <c r="Z59" s="5" t="s">
        <v>36</v>
      </c>
      <c r="AA59" s="5" t="s">
        <v>361</v>
      </c>
    </row>
    <row r="60" spans="1:27" ht="41.95" x14ac:dyDescent="0.3">
      <c r="A60" s="3">
        <v>59</v>
      </c>
      <c r="B60" s="3" t="str">
        <f>"201600036813"</f>
        <v>201600036813</v>
      </c>
      <c r="C60" s="3" t="str">
        <f>"95531"</f>
        <v>95531</v>
      </c>
      <c r="D60" s="3" t="s">
        <v>362</v>
      </c>
      <c r="E60" s="3">
        <v>20527596689</v>
      </c>
      <c r="F60" s="3" t="s">
        <v>363</v>
      </c>
      <c r="G60" s="3" t="s">
        <v>364</v>
      </c>
      <c r="H60" s="3" t="s">
        <v>72</v>
      </c>
      <c r="I60" s="3" t="s">
        <v>73</v>
      </c>
      <c r="J60" s="3" t="s">
        <v>108</v>
      </c>
      <c r="K60" s="3" t="s">
        <v>33</v>
      </c>
      <c r="L60" s="3" t="s">
        <v>365</v>
      </c>
      <c r="M60" s="3" t="s">
        <v>365</v>
      </c>
      <c r="N60" s="3" t="s">
        <v>365</v>
      </c>
      <c r="O60" s="3" t="s">
        <v>365</v>
      </c>
      <c r="P60" s="3" t="s">
        <v>366</v>
      </c>
      <c r="Q60" s="3" t="s">
        <v>366</v>
      </c>
      <c r="R60" s="3"/>
      <c r="S60" s="3"/>
      <c r="T60" s="3"/>
      <c r="U60" s="3"/>
      <c r="V60" s="3"/>
      <c r="W60" s="3"/>
      <c r="X60" s="3">
        <v>12000</v>
      </c>
      <c r="Y60" s="4">
        <v>42446</v>
      </c>
      <c r="Z60" s="3" t="s">
        <v>36</v>
      </c>
      <c r="AA60" s="3" t="s">
        <v>367</v>
      </c>
    </row>
    <row r="61" spans="1:27" ht="27.95" x14ac:dyDescent="0.3">
      <c r="A61" s="5">
        <v>60</v>
      </c>
      <c r="B61" s="5" t="str">
        <f>"201800183322"</f>
        <v>201800183322</v>
      </c>
      <c r="C61" s="5" t="str">
        <f>"17853"</f>
        <v>17853</v>
      </c>
      <c r="D61" s="5" t="s">
        <v>368</v>
      </c>
      <c r="E61" s="5">
        <v>20531545142</v>
      </c>
      <c r="F61" s="5" t="s">
        <v>369</v>
      </c>
      <c r="G61" s="5" t="s">
        <v>370</v>
      </c>
      <c r="H61" s="5" t="s">
        <v>30</v>
      </c>
      <c r="I61" s="5" t="s">
        <v>162</v>
      </c>
      <c r="J61" s="5" t="s">
        <v>238</v>
      </c>
      <c r="K61" s="5" t="s">
        <v>33</v>
      </c>
      <c r="L61" s="5" t="s">
        <v>371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>
        <v>10060</v>
      </c>
      <c r="Y61" s="6">
        <v>43411</v>
      </c>
      <c r="Z61" s="5" t="s">
        <v>36</v>
      </c>
      <c r="AA61" s="5" t="s">
        <v>372</v>
      </c>
    </row>
    <row r="62" spans="1:27" x14ac:dyDescent="0.3">
      <c r="A62" s="3">
        <v>61</v>
      </c>
      <c r="B62" s="3" t="str">
        <f>"201700132844"</f>
        <v>201700132844</v>
      </c>
      <c r="C62" s="3" t="str">
        <f>"131264"</f>
        <v>131264</v>
      </c>
      <c r="D62" s="3" t="s">
        <v>373</v>
      </c>
      <c r="E62" s="3">
        <v>10478428117</v>
      </c>
      <c r="F62" s="3" t="s">
        <v>374</v>
      </c>
      <c r="G62" s="3" t="s">
        <v>375</v>
      </c>
      <c r="H62" s="3" t="s">
        <v>65</v>
      </c>
      <c r="I62" s="3" t="s">
        <v>359</v>
      </c>
      <c r="J62" s="3" t="s">
        <v>359</v>
      </c>
      <c r="K62" s="3" t="s">
        <v>33</v>
      </c>
      <c r="L62" s="3" t="s">
        <v>98</v>
      </c>
      <c r="M62" s="3" t="s">
        <v>98</v>
      </c>
      <c r="N62" s="3" t="s">
        <v>98</v>
      </c>
      <c r="O62" s="3" t="s">
        <v>98</v>
      </c>
      <c r="P62" s="3"/>
      <c r="Q62" s="3"/>
      <c r="R62" s="3"/>
      <c r="S62" s="3"/>
      <c r="T62" s="3"/>
      <c r="U62" s="3"/>
      <c r="V62" s="3"/>
      <c r="W62" s="3"/>
      <c r="X62" s="3">
        <v>6560</v>
      </c>
      <c r="Y62" s="4">
        <v>42976</v>
      </c>
      <c r="Z62" s="3" t="s">
        <v>36</v>
      </c>
      <c r="AA62" s="3" t="s">
        <v>374</v>
      </c>
    </row>
    <row r="63" spans="1:27" ht="97.8" x14ac:dyDescent="0.3">
      <c r="A63" s="5">
        <v>62</v>
      </c>
      <c r="B63" s="5" t="str">
        <f>"202000075419"</f>
        <v>202000075419</v>
      </c>
      <c r="C63" s="5" t="str">
        <f>"125614"</f>
        <v>125614</v>
      </c>
      <c r="D63" s="5" t="s">
        <v>376</v>
      </c>
      <c r="E63" s="5">
        <v>20602933106</v>
      </c>
      <c r="F63" s="5" t="s">
        <v>316</v>
      </c>
      <c r="G63" s="5" t="s">
        <v>377</v>
      </c>
      <c r="H63" s="5" t="s">
        <v>65</v>
      </c>
      <c r="I63" s="5" t="s">
        <v>378</v>
      </c>
      <c r="J63" s="5" t="s">
        <v>379</v>
      </c>
      <c r="K63" s="5" t="s">
        <v>33</v>
      </c>
      <c r="L63" s="5" t="s">
        <v>380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>
        <v>162157</v>
      </c>
      <c r="Y63" s="6">
        <v>44015</v>
      </c>
      <c r="Z63" s="5" t="s">
        <v>36</v>
      </c>
      <c r="AA63" s="5" t="s">
        <v>381</v>
      </c>
    </row>
    <row r="64" spans="1:27" ht="41.95" x14ac:dyDescent="0.3">
      <c r="A64" s="3">
        <v>63</v>
      </c>
      <c r="B64" s="3" t="str">
        <f>"202000010211"</f>
        <v>202000010211</v>
      </c>
      <c r="C64" s="3" t="str">
        <f>"95035"</f>
        <v>95035</v>
      </c>
      <c r="D64" s="3" t="s">
        <v>382</v>
      </c>
      <c r="E64" s="3">
        <v>10803244257</v>
      </c>
      <c r="F64" s="3" t="s">
        <v>383</v>
      </c>
      <c r="G64" s="3" t="s">
        <v>384</v>
      </c>
      <c r="H64" s="3" t="s">
        <v>30</v>
      </c>
      <c r="I64" s="3" t="s">
        <v>30</v>
      </c>
      <c r="J64" s="3" t="s">
        <v>90</v>
      </c>
      <c r="K64" s="3" t="s">
        <v>33</v>
      </c>
      <c r="L64" s="3" t="s">
        <v>385</v>
      </c>
      <c r="M64" s="3" t="s">
        <v>386</v>
      </c>
      <c r="N64" s="3" t="s">
        <v>387</v>
      </c>
      <c r="O64" s="3"/>
      <c r="P64" s="3"/>
      <c r="Q64" s="3"/>
      <c r="R64" s="3"/>
      <c r="S64" s="3"/>
      <c r="T64" s="3"/>
      <c r="U64" s="3"/>
      <c r="V64" s="3"/>
      <c r="W64" s="3"/>
      <c r="X64" s="3">
        <v>21600</v>
      </c>
      <c r="Y64" s="4">
        <v>43852</v>
      </c>
      <c r="Z64" s="3" t="s">
        <v>36</v>
      </c>
      <c r="AA64" s="3" t="s">
        <v>388</v>
      </c>
    </row>
    <row r="65" spans="1:27" ht="27.95" x14ac:dyDescent="0.3">
      <c r="A65" s="5">
        <v>64</v>
      </c>
      <c r="B65" s="5" t="str">
        <f>"201900116079"</f>
        <v>201900116079</v>
      </c>
      <c r="C65" s="5" t="str">
        <f>"140335"</f>
        <v>140335</v>
      </c>
      <c r="D65" s="5" t="s">
        <v>389</v>
      </c>
      <c r="E65" s="5">
        <v>20393896737</v>
      </c>
      <c r="F65" s="5" t="s">
        <v>390</v>
      </c>
      <c r="G65" s="5" t="s">
        <v>391</v>
      </c>
      <c r="H65" s="5" t="s">
        <v>80</v>
      </c>
      <c r="I65" s="5" t="s">
        <v>392</v>
      </c>
      <c r="J65" s="5" t="s">
        <v>393</v>
      </c>
      <c r="K65" s="5" t="s">
        <v>33</v>
      </c>
      <c r="L65" s="5" t="s">
        <v>394</v>
      </c>
      <c r="M65" s="5" t="s">
        <v>394</v>
      </c>
      <c r="N65" s="5" t="s">
        <v>395</v>
      </c>
      <c r="O65" s="5" t="s">
        <v>395</v>
      </c>
      <c r="P65" s="5"/>
      <c r="Q65" s="5"/>
      <c r="R65" s="5"/>
      <c r="S65" s="5"/>
      <c r="T65" s="5"/>
      <c r="U65" s="5"/>
      <c r="V65" s="5"/>
      <c r="W65" s="5"/>
      <c r="X65" s="5">
        <v>11000</v>
      </c>
      <c r="Y65" s="6">
        <v>43677</v>
      </c>
      <c r="Z65" s="5" t="s">
        <v>36</v>
      </c>
      <c r="AA65" s="5" t="s">
        <v>396</v>
      </c>
    </row>
    <row r="66" spans="1:27" ht="27.95" x14ac:dyDescent="0.3">
      <c r="A66" s="3">
        <v>65</v>
      </c>
      <c r="B66" s="3" t="str">
        <f>"201200040491"</f>
        <v>201200040491</v>
      </c>
      <c r="C66" s="3" t="str">
        <f>"96260"</f>
        <v>96260</v>
      </c>
      <c r="D66" s="3" t="s">
        <v>397</v>
      </c>
      <c r="E66" s="3">
        <v>20528496084</v>
      </c>
      <c r="F66" s="3" t="s">
        <v>398</v>
      </c>
      <c r="G66" s="3" t="s">
        <v>399</v>
      </c>
      <c r="H66" s="3" t="s">
        <v>30</v>
      </c>
      <c r="I66" s="3" t="s">
        <v>41</v>
      </c>
      <c r="J66" s="3" t="s">
        <v>400</v>
      </c>
      <c r="K66" s="3" t="s">
        <v>33</v>
      </c>
      <c r="L66" s="3" t="s">
        <v>401</v>
      </c>
      <c r="M66" s="3" t="s">
        <v>401</v>
      </c>
      <c r="N66" s="3" t="s">
        <v>401</v>
      </c>
      <c r="O66" s="3" t="s">
        <v>402</v>
      </c>
      <c r="P66" s="3"/>
      <c r="Q66" s="3"/>
      <c r="R66" s="3"/>
      <c r="S66" s="3"/>
      <c r="T66" s="3"/>
      <c r="U66" s="3"/>
      <c r="V66" s="3"/>
      <c r="W66" s="3"/>
      <c r="X66" s="3">
        <v>5800</v>
      </c>
      <c r="Y66" s="4">
        <v>41001</v>
      </c>
      <c r="Z66" s="3" t="s">
        <v>36</v>
      </c>
      <c r="AA66" s="3" t="s">
        <v>403</v>
      </c>
    </row>
    <row r="67" spans="1:27" ht="27.95" x14ac:dyDescent="0.3">
      <c r="A67" s="5">
        <v>66</v>
      </c>
      <c r="B67" s="5" t="str">
        <f>"201900023075"</f>
        <v>201900023075</v>
      </c>
      <c r="C67" s="5" t="str">
        <f>"140705"</f>
        <v>140705</v>
      </c>
      <c r="D67" s="5" t="s">
        <v>404</v>
      </c>
      <c r="E67" s="5">
        <v>10056053340</v>
      </c>
      <c r="F67" s="5" t="s">
        <v>405</v>
      </c>
      <c r="G67" s="5" t="s">
        <v>406</v>
      </c>
      <c r="H67" s="5" t="s">
        <v>30</v>
      </c>
      <c r="I67" s="5" t="s">
        <v>194</v>
      </c>
      <c r="J67" s="5" t="s">
        <v>195</v>
      </c>
      <c r="K67" s="5" t="s">
        <v>33</v>
      </c>
      <c r="L67" s="5" t="s">
        <v>407</v>
      </c>
      <c r="M67" s="5" t="s">
        <v>407</v>
      </c>
      <c r="N67" s="5" t="s">
        <v>407</v>
      </c>
      <c r="O67" s="5" t="s">
        <v>408</v>
      </c>
      <c r="P67" s="5"/>
      <c r="Q67" s="5"/>
      <c r="R67" s="5"/>
      <c r="S67" s="5"/>
      <c r="T67" s="5"/>
      <c r="U67" s="5"/>
      <c r="V67" s="5"/>
      <c r="W67" s="5"/>
      <c r="X67" s="5">
        <v>21400</v>
      </c>
      <c r="Y67" s="6">
        <v>43514</v>
      </c>
      <c r="Z67" s="5" t="s">
        <v>36</v>
      </c>
      <c r="AA67" s="5" t="s">
        <v>405</v>
      </c>
    </row>
    <row r="68" spans="1:27" ht="27.95" x14ac:dyDescent="0.3">
      <c r="A68" s="3">
        <v>67</v>
      </c>
      <c r="B68" s="3" t="str">
        <f>"201800003212"</f>
        <v>201800003212</v>
      </c>
      <c r="C68" s="3" t="str">
        <f>"133945"</f>
        <v>133945</v>
      </c>
      <c r="D68" s="3" t="s">
        <v>409</v>
      </c>
      <c r="E68" s="3">
        <v>10052011812</v>
      </c>
      <c r="F68" s="3" t="s">
        <v>410</v>
      </c>
      <c r="G68" s="3" t="s">
        <v>411</v>
      </c>
      <c r="H68" s="3" t="s">
        <v>30</v>
      </c>
      <c r="I68" s="3" t="s">
        <v>41</v>
      </c>
      <c r="J68" s="3" t="s">
        <v>400</v>
      </c>
      <c r="K68" s="3" t="s">
        <v>33</v>
      </c>
      <c r="L68" s="3" t="s">
        <v>412</v>
      </c>
      <c r="M68" s="3" t="s">
        <v>413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>
        <v>5700</v>
      </c>
      <c r="Y68" s="4">
        <v>43111</v>
      </c>
      <c r="Z68" s="3" t="s">
        <v>36</v>
      </c>
      <c r="AA68" s="3" t="s">
        <v>410</v>
      </c>
    </row>
    <row r="69" spans="1:27" ht="27.95" x14ac:dyDescent="0.3">
      <c r="A69" s="5">
        <v>68</v>
      </c>
      <c r="B69" s="5" t="str">
        <f>"202000103886"</f>
        <v>202000103886</v>
      </c>
      <c r="C69" s="5" t="str">
        <f>"20000"</f>
        <v>20000</v>
      </c>
      <c r="D69" s="5" t="s">
        <v>414</v>
      </c>
      <c r="E69" s="5">
        <v>20494089191</v>
      </c>
      <c r="F69" s="5" t="s">
        <v>415</v>
      </c>
      <c r="G69" s="5" t="s">
        <v>416</v>
      </c>
      <c r="H69" s="5" t="s">
        <v>30</v>
      </c>
      <c r="I69" s="5" t="s">
        <v>162</v>
      </c>
      <c r="J69" s="5" t="s">
        <v>238</v>
      </c>
      <c r="K69" s="5" t="s">
        <v>33</v>
      </c>
      <c r="L69" s="5" t="s">
        <v>52</v>
      </c>
      <c r="M69" s="5" t="s">
        <v>417</v>
      </c>
      <c r="N69" s="5" t="s">
        <v>52</v>
      </c>
      <c r="O69" s="5"/>
      <c r="P69" s="5"/>
      <c r="Q69" s="5"/>
      <c r="R69" s="5"/>
      <c r="S69" s="5"/>
      <c r="T69" s="5"/>
      <c r="U69" s="5"/>
      <c r="V69" s="5"/>
      <c r="W69" s="5"/>
      <c r="X69" s="5">
        <v>5000</v>
      </c>
      <c r="Y69" s="6">
        <v>44065</v>
      </c>
      <c r="Z69" s="5" t="s">
        <v>36</v>
      </c>
      <c r="AA69" s="5" t="s">
        <v>418</v>
      </c>
    </row>
    <row r="70" spans="1:27" ht="27.95" x14ac:dyDescent="0.3">
      <c r="A70" s="3">
        <v>69</v>
      </c>
      <c r="B70" s="3" t="str">
        <f>"201600115000"</f>
        <v>201600115000</v>
      </c>
      <c r="C70" s="3" t="str">
        <f>"119249"</f>
        <v>119249</v>
      </c>
      <c r="D70" s="3" t="s">
        <v>419</v>
      </c>
      <c r="E70" s="3">
        <v>20493421876</v>
      </c>
      <c r="F70" s="3" t="s">
        <v>179</v>
      </c>
      <c r="G70" s="3" t="s">
        <v>420</v>
      </c>
      <c r="H70" s="3" t="s">
        <v>30</v>
      </c>
      <c r="I70" s="3" t="s">
        <v>194</v>
      </c>
      <c r="J70" s="3" t="s">
        <v>244</v>
      </c>
      <c r="K70" s="3" t="s">
        <v>33</v>
      </c>
      <c r="L70" s="3" t="s">
        <v>421</v>
      </c>
      <c r="M70" s="3" t="s">
        <v>421</v>
      </c>
      <c r="N70" s="3" t="s">
        <v>421</v>
      </c>
      <c r="O70" s="3" t="s">
        <v>422</v>
      </c>
      <c r="P70" s="3"/>
      <c r="Q70" s="3"/>
      <c r="R70" s="3"/>
      <c r="S70" s="3"/>
      <c r="T70" s="3"/>
      <c r="U70" s="3"/>
      <c r="V70" s="3"/>
      <c r="W70" s="3"/>
      <c r="X70" s="3">
        <v>73924</v>
      </c>
      <c r="Y70" s="4">
        <v>42598</v>
      </c>
      <c r="Z70" s="3" t="s">
        <v>36</v>
      </c>
      <c r="AA70" s="3" t="s">
        <v>208</v>
      </c>
    </row>
    <row r="71" spans="1:27" ht="27.95" x14ac:dyDescent="0.3">
      <c r="A71" s="5">
        <v>70</v>
      </c>
      <c r="B71" s="5" t="str">
        <f>"201900032807"</f>
        <v>201900032807</v>
      </c>
      <c r="C71" s="5" t="str">
        <f>"17855"</f>
        <v>17855</v>
      </c>
      <c r="D71" s="5" t="s">
        <v>423</v>
      </c>
      <c r="E71" s="5">
        <v>20103744131</v>
      </c>
      <c r="F71" s="5" t="s">
        <v>424</v>
      </c>
      <c r="G71" s="5" t="s">
        <v>425</v>
      </c>
      <c r="H71" s="5" t="s">
        <v>30</v>
      </c>
      <c r="I71" s="5" t="s">
        <v>41</v>
      </c>
      <c r="J71" s="5" t="s">
        <v>118</v>
      </c>
      <c r="K71" s="5" t="s">
        <v>33</v>
      </c>
      <c r="L71" s="5" t="s">
        <v>426</v>
      </c>
      <c r="M71" s="5" t="s">
        <v>426</v>
      </c>
      <c r="N71" s="5" t="s">
        <v>427</v>
      </c>
      <c r="O71" s="5" t="s">
        <v>428</v>
      </c>
      <c r="P71" s="5" t="s">
        <v>429</v>
      </c>
      <c r="Q71" s="5" t="s">
        <v>430</v>
      </c>
      <c r="R71" s="5" t="s">
        <v>431</v>
      </c>
      <c r="S71" s="5" t="s">
        <v>431</v>
      </c>
      <c r="T71" s="5" t="s">
        <v>59</v>
      </c>
      <c r="U71" s="5" t="s">
        <v>59</v>
      </c>
      <c r="V71" s="5" t="s">
        <v>432</v>
      </c>
      <c r="W71" s="5" t="s">
        <v>432</v>
      </c>
      <c r="X71" s="5">
        <v>21000</v>
      </c>
      <c r="Y71" s="6">
        <v>43532</v>
      </c>
      <c r="Z71" s="5" t="s">
        <v>36</v>
      </c>
      <c r="AA71" s="5" t="s">
        <v>433</v>
      </c>
    </row>
    <row r="72" spans="1:27" x14ac:dyDescent="0.3">
      <c r="A72" s="3">
        <v>71</v>
      </c>
      <c r="B72" s="3" t="str">
        <f>"201800028117"</f>
        <v>201800028117</v>
      </c>
      <c r="C72" s="3" t="str">
        <f>"14772"</f>
        <v>14772</v>
      </c>
      <c r="D72" s="3" t="s">
        <v>434</v>
      </c>
      <c r="E72" s="3">
        <v>10058422555</v>
      </c>
      <c r="F72" s="3" t="s">
        <v>299</v>
      </c>
      <c r="G72" s="3" t="s">
        <v>435</v>
      </c>
      <c r="H72" s="3" t="s">
        <v>30</v>
      </c>
      <c r="I72" s="3" t="s">
        <v>228</v>
      </c>
      <c r="J72" s="3" t="s">
        <v>228</v>
      </c>
      <c r="K72" s="3" t="s">
        <v>33</v>
      </c>
      <c r="L72" s="3" t="s">
        <v>436</v>
      </c>
      <c r="M72" s="3" t="s">
        <v>437</v>
      </c>
      <c r="N72" s="3" t="s">
        <v>438</v>
      </c>
      <c r="O72" s="3" t="s">
        <v>438</v>
      </c>
      <c r="P72" s="3"/>
      <c r="Q72" s="3"/>
      <c r="R72" s="3"/>
      <c r="S72" s="3"/>
      <c r="T72" s="3"/>
      <c r="U72" s="3"/>
      <c r="V72" s="3"/>
      <c r="W72" s="3"/>
      <c r="X72" s="3">
        <v>17832</v>
      </c>
      <c r="Y72" s="4">
        <v>43153</v>
      </c>
      <c r="Z72" s="3" t="s">
        <v>36</v>
      </c>
      <c r="AA72" s="3" t="s">
        <v>299</v>
      </c>
    </row>
    <row r="73" spans="1:27" ht="27.95" x14ac:dyDescent="0.3">
      <c r="A73" s="5">
        <v>72</v>
      </c>
      <c r="B73" s="5" t="str">
        <f>"201600103230"</f>
        <v>201600103230</v>
      </c>
      <c r="C73" s="5" t="str">
        <f>"122102"</f>
        <v>122102</v>
      </c>
      <c r="D73" s="5" t="s">
        <v>439</v>
      </c>
      <c r="E73" s="5">
        <v>20541244817</v>
      </c>
      <c r="F73" s="5" t="s">
        <v>28</v>
      </c>
      <c r="G73" s="5" t="s">
        <v>440</v>
      </c>
      <c r="H73" s="5" t="s">
        <v>30</v>
      </c>
      <c r="I73" s="5" t="s">
        <v>31</v>
      </c>
      <c r="J73" s="5" t="s">
        <v>32</v>
      </c>
      <c r="K73" s="5" t="s">
        <v>33</v>
      </c>
      <c r="L73" s="5" t="s">
        <v>34</v>
      </c>
      <c r="M73" s="5" t="s">
        <v>35</v>
      </c>
      <c r="N73" s="5" t="s">
        <v>35</v>
      </c>
      <c r="O73" s="5" t="s">
        <v>35</v>
      </c>
      <c r="P73" s="5"/>
      <c r="Q73" s="5"/>
      <c r="R73" s="5"/>
      <c r="S73" s="5"/>
      <c r="T73" s="5"/>
      <c r="U73" s="5"/>
      <c r="V73" s="5"/>
      <c r="W73" s="5"/>
      <c r="X73" s="5">
        <v>35000</v>
      </c>
      <c r="Y73" s="6">
        <v>42572</v>
      </c>
      <c r="Z73" s="5" t="s">
        <v>36</v>
      </c>
      <c r="AA73" s="5" t="s">
        <v>37</v>
      </c>
    </row>
    <row r="74" spans="1:27" x14ac:dyDescent="0.3">
      <c r="A74" s="3">
        <v>73</v>
      </c>
      <c r="B74" s="3" t="str">
        <f>"201700161788"</f>
        <v>201700161788</v>
      </c>
      <c r="C74" s="3" t="str">
        <f>"125927"</f>
        <v>125927</v>
      </c>
      <c r="D74" s="3" t="s">
        <v>441</v>
      </c>
      <c r="E74" s="3">
        <v>10440856611</v>
      </c>
      <c r="F74" s="3" t="s">
        <v>442</v>
      </c>
      <c r="G74" s="3" t="s">
        <v>443</v>
      </c>
      <c r="H74" s="3" t="s">
        <v>30</v>
      </c>
      <c r="I74" s="3" t="s">
        <v>31</v>
      </c>
      <c r="J74" s="3" t="s">
        <v>204</v>
      </c>
      <c r="K74" s="3" t="s">
        <v>33</v>
      </c>
      <c r="L74" s="3" t="s">
        <v>444</v>
      </c>
      <c r="M74" s="3" t="s">
        <v>444</v>
      </c>
      <c r="N74" s="3" t="s">
        <v>445</v>
      </c>
      <c r="O74" s="3" t="s">
        <v>445</v>
      </c>
      <c r="P74" s="3" t="s">
        <v>445</v>
      </c>
      <c r="Q74" s="3" t="s">
        <v>445</v>
      </c>
      <c r="R74" s="3" t="s">
        <v>446</v>
      </c>
      <c r="S74" s="3" t="s">
        <v>446</v>
      </c>
      <c r="T74" s="3"/>
      <c r="U74" s="3"/>
      <c r="V74" s="3"/>
      <c r="W74" s="3"/>
      <c r="X74" s="3">
        <v>8106</v>
      </c>
      <c r="Y74" s="4">
        <v>43017</v>
      </c>
      <c r="Z74" s="3" t="s">
        <v>36</v>
      </c>
      <c r="AA74" s="3" t="s">
        <v>442</v>
      </c>
    </row>
    <row r="75" spans="1:27" x14ac:dyDescent="0.3">
      <c r="A75" s="5">
        <v>74</v>
      </c>
      <c r="B75" s="5" t="str">
        <f>"201400155177"</f>
        <v>201400155177</v>
      </c>
      <c r="C75" s="5" t="str">
        <f>"94614"</f>
        <v>94614</v>
      </c>
      <c r="D75" s="5" t="s">
        <v>447</v>
      </c>
      <c r="E75" s="5">
        <v>20448201610</v>
      </c>
      <c r="F75" s="5" t="s">
        <v>448</v>
      </c>
      <c r="G75" s="5" t="s">
        <v>449</v>
      </c>
      <c r="H75" s="5" t="s">
        <v>450</v>
      </c>
      <c r="I75" s="5" t="s">
        <v>450</v>
      </c>
      <c r="J75" s="5" t="s">
        <v>450</v>
      </c>
      <c r="K75" s="5" t="s">
        <v>33</v>
      </c>
      <c r="L75" s="5" t="s">
        <v>451</v>
      </c>
      <c r="M75" s="5" t="s">
        <v>452</v>
      </c>
      <c r="N75" s="5" t="s">
        <v>451</v>
      </c>
      <c r="O75" s="5" t="s">
        <v>453</v>
      </c>
      <c r="P75" s="5"/>
      <c r="Q75" s="5"/>
      <c r="R75" s="5"/>
      <c r="S75" s="5"/>
      <c r="T75" s="5"/>
      <c r="U75" s="5"/>
      <c r="V75" s="5"/>
      <c r="W75" s="5"/>
      <c r="X75" s="5">
        <v>7030</v>
      </c>
      <c r="Y75" s="6">
        <v>41971</v>
      </c>
      <c r="Z75" s="5" t="s">
        <v>36</v>
      </c>
      <c r="AA75" s="5" t="s">
        <v>454</v>
      </c>
    </row>
    <row r="76" spans="1:27" ht="27.95" x14ac:dyDescent="0.3">
      <c r="A76" s="3">
        <v>75</v>
      </c>
      <c r="B76" s="3" t="str">
        <f>"201900012506"</f>
        <v>201900012506</v>
      </c>
      <c r="C76" s="3" t="str">
        <f>"91357"</f>
        <v>91357</v>
      </c>
      <c r="D76" s="3" t="s">
        <v>455</v>
      </c>
      <c r="E76" s="3">
        <v>20528450173</v>
      </c>
      <c r="F76" s="3" t="s">
        <v>456</v>
      </c>
      <c r="G76" s="3" t="s">
        <v>457</v>
      </c>
      <c r="H76" s="3" t="s">
        <v>30</v>
      </c>
      <c r="I76" s="3" t="s">
        <v>31</v>
      </c>
      <c r="J76" s="3" t="s">
        <v>32</v>
      </c>
      <c r="K76" s="3" t="s">
        <v>33</v>
      </c>
      <c r="L76" s="3" t="s">
        <v>34</v>
      </c>
      <c r="M76" s="3" t="s">
        <v>35</v>
      </c>
      <c r="N76" s="3" t="s">
        <v>35</v>
      </c>
      <c r="O76" s="3" t="s">
        <v>35</v>
      </c>
      <c r="P76" s="3"/>
      <c r="Q76" s="3"/>
      <c r="R76" s="3"/>
      <c r="S76" s="3"/>
      <c r="T76" s="3"/>
      <c r="U76" s="3"/>
      <c r="V76" s="3"/>
      <c r="W76" s="3"/>
      <c r="X76" s="3">
        <v>35000</v>
      </c>
      <c r="Y76" s="4">
        <v>43490</v>
      </c>
      <c r="Z76" s="3" t="s">
        <v>36</v>
      </c>
      <c r="AA76" s="3" t="s">
        <v>190</v>
      </c>
    </row>
    <row r="77" spans="1:27" ht="27.95" x14ac:dyDescent="0.3">
      <c r="A77" s="5">
        <v>76</v>
      </c>
      <c r="B77" s="5" t="str">
        <f>"201800066610"</f>
        <v>201800066610</v>
      </c>
      <c r="C77" s="5" t="str">
        <f>"135787"</f>
        <v>135787</v>
      </c>
      <c r="D77" s="5" t="s">
        <v>458</v>
      </c>
      <c r="E77" s="5">
        <v>20493935802</v>
      </c>
      <c r="F77" s="5" t="s">
        <v>242</v>
      </c>
      <c r="G77" s="5" t="s">
        <v>459</v>
      </c>
      <c r="H77" s="5" t="s">
        <v>30</v>
      </c>
      <c r="I77" s="5" t="s">
        <v>194</v>
      </c>
      <c r="J77" s="5" t="s">
        <v>195</v>
      </c>
      <c r="K77" s="5" t="s">
        <v>33</v>
      </c>
      <c r="L77" s="5" t="s">
        <v>34</v>
      </c>
      <c r="M77" s="5" t="s">
        <v>245</v>
      </c>
      <c r="N77" s="5" t="s">
        <v>35</v>
      </c>
      <c r="O77" s="5" t="s">
        <v>35</v>
      </c>
      <c r="P77" s="5" t="s">
        <v>35</v>
      </c>
      <c r="Q77" s="5"/>
      <c r="R77" s="5"/>
      <c r="S77" s="5"/>
      <c r="T77" s="5"/>
      <c r="U77" s="5"/>
      <c r="V77" s="5"/>
      <c r="W77" s="5"/>
      <c r="X77" s="5">
        <v>40900</v>
      </c>
      <c r="Y77" s="6">
        <v>43215</v>
      </c>
      <c r="Z77" s="5" t="s">
        <v>36</v>
      </c>
      <c r="AA77" s="5" t="s">
        <v>37</v>
      </c>
    </row>
    <row r="78" spans="1:27" x14ac:dyDescent="0.3">
      <c r="A78" s="3">
        <v>77</v>
      </c>
      <c r="B78" s="3" t="str">
        <f>"202000105136"</f>
        <v>202000105136</v>
      </c>
      <c r="C78" s="3" t="str">
        <f>"107272"</f>
        <v>107272</v>
      </c>
      <c r="D78" s="3" t="s">
        <v>460</v>
      </c>
      <c r="E78" s="3">
        <v>10105903338</v>
      </c>
      <c r="F78" s="3" t="s">
        <v>461</v>
      </c>
      <c r="G78" s="3" t="s">
        <v>462</v>
      </c>
      <c r="H78" s="3" t="s">
        <v>80</v>
      </c>
      <c r="I78" s="3" t="s">
        <v>392</v>
      </c>
      <c r="J78" s="3" t="s">
        <v>393</v>
      </c>
      <c r="K78" s="3" t="s">
        <v>33</v>
      </c>
      <c r="L78" s="3" t="s">
        <v>463</v>
      </c>
      <c r="M78" s="3" t="s">
        <v>464</v>
      </c>
      <c r="N78" s="3" t="s">
        <v>465</v>
      </c>
      <c r="O78" s="3" t="s">
        <v>465</v>
      </c>
      <c r="P78" s="3" t="s">
        <v>464</v>
      </c>
      <c r="Q78" s="3" t="s">
        <v>465</v>
      </c>
      <c r="R78" s="3"/>
      <c r="S78" s="3"/>
      <c r="T78" s="3"/>
      <c r="U78" s="3"/>
      <c r="V78" s="3"/>
      <c r="W78" s="3"/>
      <c r="X78" s="3">
        <v>22012</v>
      </c>
      <c r="Y78" s="4">
        <v>44059</v>
      </c>
      <c r="Z78" s="3" t="s">
        <v>36</v>
      </c>
      <c r="AA78" s="3" t="s">
        <v>461</v>
      </c>
    </row>
    <row r="79" spans="1:27" ht="27.95" x14ac:dyDescent="0.3">
      <c r="A79" s="5">
        <v>78</v>
      </c>
      <c r="B79" s="5" t="str">
        <f>"201900027865"</f>
        <v>201900027865</v>
      </c>
      <c r="C79" s="5" t="str">
        <f>"141467"</f>
        <v>141467</v>
      </c>
      <c r="D79" s="5" t="s">
        <v>466</v>
      </c>
      <c r="E79" s="5">
        <v>20393080451</v>
      </c>
      <c r="F79" s="5" t="s">
        <v>467</v>
      </c>
      <c r="G79" s="5" t="s">
        <v>468</v>
      </c>
      <c r="H79" s="5" t="s">
        <v>80</v>
      </c>
      <c r="I79" s="5" t="s">
        <v>392</v>
      </c>
      <c r="J79" s="5" t="s">
        <v>469</v>
      </c>
      <c r="K79" s="5" t="s">
        <v>33</v>
      </c>
      <c r="L79" s="5" t="s">
        <v>470</v>
      </c>
      <c r="M79" s="5" t="s">
        <v>471</v>
      </c>
      <c r="N79" s="5" t="s">
        <v>472</v>
      </c>
      <c r="O79" s="5" t="s">
        <v>473</v>
      </c>
      <c r="P79" s="5" t="s">
        <v>474</v>
      </c>
      <c r="Q79" s="5"/>
      <c r="R79" s="5"/>
      <c r="S79" s="5"/>
      <c r="T79" s="5"/>
      <c r="U79" s="5"/>
      <c r="V79" s="5"/>
      <c r="W79" s="5"/>
      <c r="X79" s="5">
        <v>25500</v>
      </c>
      <c r="Y79" s="6">
        <v>43522</v>
      </c>
      <c r="Z79" s="5" t="s">
        <v>36</v>
      </c>
      <c r="AA79" s="5" t="s">
        <v>475</v>
      </c>
    </row>
    <row r="80" spans="1:27" ht="27.95" x14ac:dyDescent="0.3">
      <c r="A80" s="3">
        <v>79</v>
      </c>
      <c r="B80" s="3" t="str">
        <f>"201400050491"</f>
        <v>201400050491</v>
      </c>
      <c r="C80" s="3" t="str">
        <f>"93131"</f>
        <v>93131</v>
      </c>
      <c r="D80" s="3" t="s">
        <v>476</v>
      </c>
      <c r="E80" s="3">
        <v>20567183468</v>
      </c>
      <c r="F80" s="3" t="s">
        <v>477</v>
      </c>
      <c r="G80" s="3" t="s">
        <v>478</v>
      </c>
      <c r="H80" s="3" t="s">
        <v>30</v>
      </c>
      <c r="I80" s="3" t="s">
        <v>194</v>
      </c>
      <c r="J80" s="3" t="s">
        <v>244</v>
      </c>
      <c r="K80" s="3" t="s">
        <v>33</v>
      </c>
      <c r="L80" s="3" t="s">
        <v>34</v>
      </c>
      <c r="M80" s="3" t="s">
        <v>58</v>
      </c>
      <c r="N80" s="3" t="s">
        <v>58</v>
      </c>
      <c r="O80" s="3" t="s">
        <v>58</v>
      </c>
      <c r="P80" s="3"/>
      <c r="Q80" s="3"/>
      <c r="R80" s="3"/>
      <c r="S80" s="3"/>
      <c r="T80" s="3"/>
      <c r="U80" s="3"/>
      <c r="V80" s="3"/>
      <c r="W80" s="3"/>
      <c r="X80" s="3">
        <v>20000</v>
      </c>
      <c r="Y80" s="4">
        <v>41754</v>
      </c>
      <c r="Z80" s="3" t="s">
        <v>36</v>
      </c>
      <c r="AA80" s="3" t="s">
        <v>479</v>
      </c>
    </row>
    <row r="81" spans="1:27" ht="27.95" x14ac:dyDescent="0.3">
      <c r="A81" s="5">
        <v>80</v>
      </c>
      <c r="B81" s="5" t="str">
        <f>"201900130080"</f>
        <v>201900130080</v>
      </c>
      <c r="C81" s="5" t="str">
        <f>"110413"</f>
        <v>110413</v>
      </c>
      <c r="D81" s="5" t="s">
        <v>480</v>
      </c>
      <c r="E81" s="5">
        <v>20531576455</v>
      </c>
      <c r="F81" s="5" t="s">
        <v>481</v>
      </c>
      <c r="G81" s="5" t="s">
        <v>482</v>
      </c>
      <c r="H81" s="5" t="s">
        <v>30</v>
      </c>
      <c r="I81" s="5" t="s">
        <v>41</v>
      </c>
      <c r="J81" s="5" t="s">
        <v>42</v>
      </c>
      <c r="K81" s="5" t="s">
        <v>33</v>
      </c>
      <c r="L81" s="5" t="s">
        <v>385</v>
      </c>
      <c r="M81" s="5" t="s">
        <v>385</v>
      </c>
      <c r="N81" s="5" t="s">
        <v>50</v>
      </c>
      <c r="O81" s="5" t="s">
        <v>50</v>
      </c>
      <c r="P81" s="5"/>
      <c r="Q81" s="5"/>
      <c r="R81" s="5"/>
      <c r="S81" s="5"/>
      <c r="T81" s="5"/>
      <c r="U81" s="5"/>
      <c r="V81" s="5"/>
      <c r="W81" s="5"/>
      <c r="X81" s="5">
        <v>18000</v>
      </c>
      <c r="Y81" s="6">
        <v>43691</v>
      </c>
      <c r="Z81" s="5" t="s">
        <v>36</v>
      </c>
      <c r="AA81" s="5" t="s">
        <v>483</v>
      </c>
    </row>
    <row r="82" spans="1:27" ht="27.95" x14ac:dyDescent="0.3">
      <c r="A82" s="3">
        <v>81</v>
      </c>
      <c r="B82" s="3" t="str">
        <f>"201200004349"</f>
        <v>201200004349</v>
      </c>
      <c r="C82" s="3" t="str">
        <f>"95525"</f>
        <v>95525</v>
      </c>
      <c r="D82" s="3" t="s">
        <v>484</v>
      </c>
      <c r="E82" s="3">
        <v>20493935802</v>
      </c>
      <c r="F82" s="3" t="s">
        <v>485</v>
      </c>
      <c r="G82" s="3" t="s">
        <v>486</v>
      </c>
      <c r="H82" s="3" t="s">
        <v>30</v>
      </c>
      <c r="I82" s="3" t="s">
        <v>31</v>
      </c>
      <c r="J82" s="3" t="s">
        <v>204</v>
      </c>
      <c r="K82" s="3" t="s">
        <v>33</v>
      </c>
      <c r="L82" s="3" t="s">
        <v>34</v>
      </c>
      <c r="M82" s="3" t="s">
        <v>58</v>
      </c>
      <c r="N82" s="3" t="s">
        <v>58</v>
      </c>
      <c r="O82" s="3" t="s">
        <v>58</v>
      </c>
      <c r="P82" s="3"/>
      <c r="Q82" s="3"/>
      <c r="R82" s="3"/>
      <c r="S82" s="3"/>
      <c r="T82" s="3"/>
      <c r="U82" s="3"/>
      <c r="V82" s="3"/>
      <c r="W82" s="3"/>
      <c r="X82" s="3">
        <v>20000</v>
      </c>
      <c r="Y82" s="4">
        <v>40927</v>
      </c>
      <c r="Z82" s="3" t="s">
        <v>36</v>
      </c>
      <c r="AA82" s="3" t="s">
        <v>37</v>
      </c>
    </row>
    <row r="83" spans="1:27" x14ac:dyDescent="0.3">
      <c r="A83" s="5">
        <v>82</v>
      </c>
      <c r="B83" s="5" t="str">
        <f>"201800213245"</f>
        <v>201800213245</v>
      </c>
      <c r="C83" s="5" t="str">
        <f>"89659"</f>
        <v>89659</v>
      </c>
      <c r="D83" s="5" t="s">
        <v>487</v>
      </c>
      <c r="E83" s="5">
        <v>20105299991</v>
      </c>
      <c r="F83" s="5" t="s">
        <v>488</v>
      </c>
      <c r="G83" s="5" t="s">
        <v>64</v>
      </c>
      <c r="H83" s="5" t="s">
        <v>65</v>
      </c>
      <c r="I83" s="5" t="s">
        <v>66</v>
      </c>
      <c r="J83" s="5" t="s">
        <v>66</v>
      </c>
      <c r="K83" s="5" t="s">
        <v>33</v>
      </c>
      <c r="L83" s="5" t="s">
        <v>489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>
        <v>6886</v>
      </c>
      <c r="Y83" s="6">
        <v>43463</v>
      </c>
      <c r="Z83" s="5" t="s">
        <v>36</v>
      </c>
      <c r="AA83" s="5" t="s">
        <v>490</v>
      </c>
    </row>
    <row r="84" spans="1:27" ht="27.95" x14ac:dyDescent="0.3">
      <c r="A84" s="3">
        <v>83</v>
      </c>
      <c r="B84" s="3" t="str">
        <f>"201800193678"</f>
        <v>201800193678</v>
      </c>
      <c r="C84" s="3" t="str">
        <f>"139832"</f>
        <v>139832</v>
      </c>
      <c r="D84" s="3" t="s">
        <v>491</v>
      </c>
      <c r="E84" s="3">
        <v>20602830358</v>
      </c>
      <c r="F84" s="3" t="s">
        <v>492</v>
      </c>
      <c r="G84" s="3" t="s">
        <v>493</v>
      </c>
      <c r="H84" s="3" t="s">
        <v>65</v>
      </c>
      <c r="I84" s="3" t="s">
        <v>359</v>
      </c>
      <c r="J84" s="3" t="s">
        <v>359</v>
      </c>
      <c r="K84" s="3" t="s">
        <v>33</v>
      </c>
      <c r="L84" s="3" t="s">
        <v>494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>
        <v>12000</v>
      </c>
      <c r="Y84" s="4">
        <v>43431</v>
      </c>
      <c r="Z84" s="3" t="s">
        <v>36</v>
      </c>
      <c r="AA84" s="3" t="s">
        <v>495</v>
      </c>
    </row>
    <row r="85" spans="1:27" ht="27.95" x14ac:dyDescent="0.3">
      <c r="A85" s="5">
        <v>84</v>
      </c>
      <c r="B85" s="5" t="str">
        <f>"201900035701"</f>
        <v>201900035701</v>
      </c>
      <c r="C85" s="5" t="str">
        <f>"125476"</f>
        <v>125476</v>
      </c>
      <c r="D85" s="5" t="s">
        <v>496</v>
      </c>
      <c r="E85" s="5">
        <v>20600270126</v>
      </c>
      <c r="F85" s="5" t="s">
        <v>497</v>
      </c>
      <c r="G85" s="5" t="s">
        <v>498</v>
      </c>
      <c r="H85" s="5" t="s">
        <v>30</v>
      </c>
      <c r="I85" s="5" t="s">
        <v>31</v>
      </c>
      <c r="J85" s="5" t="s">
        <v>32</v>
      </c>
      <c r="K85" s="5" t="s">
        <v>33</v>
      </c>
      <c r="L85" s="5" t="s">
        <v>499</v>
      </c>
      <c r="M85" s="5" t="s">
        <v>499</v>
      </c>
      <c r="N85" s="5" t="s">
        <v>499</v>
      </c>
      <c r="O85" s="5" t="s">
        <v>500</v>
      </c>
      <c r="P85" s="5"/>
      <c r="Q85" s="5"/>
      <c r="R85" s="5"/>
      <c r="S85" s="5"/>
      <c r="T85" s="5"/>
      <c r="U85" s="5"/>
      <c r="V85" s="5"/>
      <c r="W85" s="5"/>
      <c r="X85" s="5">
        <v>21600</v>
      </c>
      <c r="Y85" s="6">
        <v>43536</v>
      </c>
      <c r="Z85" s="5" t="s">
        <v>36</v>
      </c>
      <c r="AA85" s="5" t="s">
        <v>501</v>
      </c>
    </row>
    <row r="86" spans="1:27" ht="27.95" x14ac:dyDescent="0.3">
      <c r="A86" s="3">
        <v>85</v>
      </c>
      <c r="B86" s="3" t="str">
        <f>"201600076351"</f>
        <v>201600076351</v>
      </c>
      <c r="C86" s="3" t="str">
        <f>"119176"</f>
        <v>119176</v>
      </c>
      <c r="D86" s="3" t="s">
        <v>502</v>
      </c>
      <c r="E86" s="3">
        <v>20394007669</v>
      </c>
      <c r="F86" s="3" t="s">
        <v>503</v>
      </c>
      <c r="G86" s="3" t="s">
        <v>504</v>
      </c>
      <c r="H86" s="3" t="s">
        <v>153</v>
      </c>
      <c r="I86" s="3" t="s">
        <v>154</v>
      </c>
      <c r="J86" s="3" t="s">
        <v>505</v>
      </c>
      <c r="K86" s="3" t="s">
        <v>33</v>
      </c>
      <c r="L86" s="3" t="s">
        <v>506</v>
      </c>
      <c r="M86" s="3" t="s">
        <v>507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>
        <v>10000</v>
      </c>
      <c r="Y86" s="4">
        <v>42518</v>
      </c>
      <c r="Z86" s="3" t="s">
        <v>36</v>
      </c>
      <c r="AA86" s="3" t="s">
        <v>508</v>
      </c>
    </row>
    <row r="87" spans="1:27" x14ac:dyDescent="0.3">
      <c r="A87" s="5">
        <v>86</v>
      </c>
      <c r="B87" s="5" t="str">
        <f>"202000077339"</f>
        <v>202000077339</v>
      </c>
      <c r="C87" s="5" t="str">
        <f>"149214"</f>
        <v>149214</v>
      </c>
      <c r="D87" s="5" t="s">
        <v>509</v>
      </c>
      <c r="E87" s="5">
        <v>20682816801</v>
      </c>
      <c r="F87" s="5" t="s">
        <v>510</v>
      </c>
      <c r="G87" s="5" t="s">
        <v>511</v>
      </c>
      <c r="H87" s="5" t="s">
        <v>80</v>
      </c>
      <c r="I87" s="5" t="s">
        <v>392</v>
      </c>
      <c r="J87" s="5" t="s">
        <v>469</v>
      </c>
      <c r="K87" s="5" t="s">
        <v>33</v>
      </c>
      <c r="L87" s="5" t="s">
        <v>512</v>
      </c>
      <c r="M87" s="5" t="s">
        <v>512</v>
      </c>
      <c r="N87" s="5" t="s">
        <v>513</v>
      </c>
      <c r="O87" s="5" t="s">
        <v>473</v>
      </c>
      <c r="P87" s="5" t="s">
        <v>514</v>
      </c>
      <c r="Q87" s="5" t="s">
        <v>514</v>
      </c>
      <c r="R87" s="5"/>
      <c r="S87" s="5"/>
      <c r="T87" s="5"/>
      <c r="U87" s="5"/>
      <c r="V87" s="5"/>
      <c r="W87" s="5"/>
      <c r="X87" s="5">
        <v>23170</v>
      </c>
      <c r="Y87" s="6">
        <v>44032</v>
      </c>
      <c r="Z87" s="5" t="s">
        <v>36</v>
      </c>
      <c r="AA87" s="5" t="s">
        <v>515</v>
      </c>
    </row>
    <row r="88" spans="1:27" x14ac:dyDescent="0.3">
      <c r="A88" s="3">
        <v>87</v>
      </c>
      <c r="B88" s="3" t="str">
        <f>"202000055986"</f>
        <v>202000055986</v>
      </c>
      <c r="C88" s="3" t="str">
        <f>"112338"</f>
        <v>112338</v>
      </c>
      <c r="D88" s="3" t="s">
        <v>516</v>
      </c>
      <c r="E88" s="3">
        <v>10437671368</v>
      </c>
      <c r="F88" s="3" t="s">
        <v>517</v>
      </c>
      <c r="G88" s="3" t="s">
        <v>518</v>
      </c>
      <c r="H88" s="3" t="s">
        <v>65</v>
      </c>
      <c r="I88" s="3" t="s">
        <v>359</v>
      </c>
      <c r="J88" s="3" t="s">
        <v>359</v>
      </c>
      <c r="K88" s="3" t="s">
        <v>33</v>
      </c>
      <c r="L88" s="3" t="s">
        <v>519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>
        <v>10840</v>
      </c>
      <c r="Y88" s="4">
        <v>43964</v>
      </c>
      <c r="Z88" s="3" t="s">
        <v>36</v>
      </c>
      <c r="AA88" s="3" t="s">
        <v>517</v>
      </c>
    </row>
    <row r="89" spans="1:27" ht="27.95" x14ac:dyDescent="0.3">
      <c r="A89" s="5">
        <v>88</v>
      </c>
      <c r="B89" s="5" t="str">
        <f>"201800205354"</f>
        <v>201800205354</v>
      </c>
      <c r="C89" s="5" t="str">
        <f>"106761"</f>
        <v>106761</v>
      </c>
      <c r="D89" s="5" t="s">
        <v>520</v>
      </c>
      <c r="E89" s="5">
        <v>20602295550</v>
      </c>
      <c r="F89" s="5" t="s">
        <v>521</v>
      </c>
      <c r="G89" s="5" t="s">
        <v>522</v>
      </c>
      <c r="H89" s="5" t="s">
        <v>65</v>
      </c>
      <c r="I89" s="5" t="s">
        <v>359</v>
      </c>
      <c r="J89" s="5" t="s">
        <v>359</v>
      </c>
      <c r="K89" s="5" t="s">
        <v>33</v>
      </c>
      <c r="L89" s="5" t="s">
        <v>113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>
        <v>3000</v>
      </c>
      <c r="Y89" s="6">
        <v>43452</v>
      </c>
      <c r="Z89" s="5" t="s">
        <v>36</v>
      </c>
      <c r="AA89" s="5" t="s">
        <v>523</v>
      </c>
    </row>
    <row r="90" spans="1:27" ht="27.95" x14ac:dyDescent="0.3">
      <c r="A90" s="3">
        <v>89</v>
      </c>
      <c r="B90" s="3" t="str">
        <f>"201500167546"</f>
        <v>201500167546</v>
      </c>
      <c r="C90" s="3" t="str">
        <f>"85673"</f>
        <v>85673</v>
      </c>
      <c r="D90" s="3" t="s">
        <v>524</v>
      </c>
      <c r="E90" s="3">
        <v>20541165275</v>
      </c>
      <c r="F90" s="3" t="s">
        <v>525</v>
      </c>
      <c r="G90" s="3" t="s">
        <v>526</v>
      </c>
      <c r="H90" s="3" t="s">
        <v>30</v>
      </c>
      <c r="I90" s="3" t="s">
        <v>194</v>
      </c>
      <c r="J90" s="3" t="s">
        <v>195</v>
      </c>
      <c r="K90" s="3" t="s">
        <v>33</v>
      </c>
      <c r="L90" s="3" t="s">
        <v>58</v>
      </c>
      <c r="M90" s="3" t="s">
        <v>527</v>
      </c>
      <c r="N90" s="3" t="s">
        <v>34</v>
      </c>
      <c r="O90" s="3"/>
      <c r="P90" s="3"/>
      <c r="Q90" s="3"/>
      <c r="R90" s="3"/>
      <c r="S90" s="3"/>
      <c r="T90" s="3"/>
      <c r="U90" s="3"/>
      <c r="V90" s="3"/>
      <c r="W90" s="3"/>
      <c r="X90" s="3">
        <v>15000</v>
      </c>
      <c r="Y90" s="4">
        <v>42360</v>
      </c>
      <c r="Z90" s="3" t="s">
        <v>36</v>
      </c>
      <c r="AA90" s="3" t="s">
        <v>528</v>
      </c>
    </row>
    <row r="91" spans="1:27" ht="27.95" x14ac:dyDescent="0.3">
      <c r="A91" s="5">
        <v>90</v>
      </c>
      <c r="B91" s="5" t="str">
        <f>"201900057146"</f>
        <v>201900057146</v>
      </c>
      <c r="C91" s="5" t="str">
        <f>"9251"</f>
        <v>9251</v>
      </c>
      <c r="D91" s="5" t="s">
        <v>529</v>
      </c>
      <c r="E91" s="5">
        <v>20602946828</v>
      </c>
      <c r="F91" s="5" t="s">
        <v>530</v>
      </c>
      <c r="G91" s="5" t="s">
        <v>531</v>
      </c>
      <c r="H91" s="5" t="s">
        <v>532</v>
      </c>
      <c r="I91" s="5" t="s">
        <v>533</v>
      </c>
      <c r="J91" s="5" t="s">
        <v>534</v>
      </c>
      <c r="K91" s="5" t="s">
        <v>33</v>
      </c>
      <c r="L91" s="5" t="s">
        <v>535</v>
      </c>
      <c r="M91" s="5" t="s">
        <v>535</v>
      </c>
      <c r="N91" s="5" t="s">
        <v>535</v>
      </c>
      <c r="O91" s="5"/>
      <c r="P91" s="5"/>
      <c r="Q91" s="5"/>
      <c r="R91" s="5"/>
      <c r="S91" s="5"/>
      <c r="T91" s="5"/>
      <c r="U91" s="5"/>
      <c r="V91" s="5"/>
      <c r="W91" s="5"/>
      <c r="X91" s="5">
        <v>90000</v>
      </c>
      <c r="Y91" s="6">
        <v>43584</v>
      </c>
      <c r="Z91" s="5" t="s">
        <v>36</v>
      </c>
      <c r="AA91" s="5" t="s">
        <v>536</v>
      </c>
    </row>
    <row r="92" spans="1:27" ht="27.95" x14ac:dyDescent="0.3">
      <c r="A92" s="3">
        <v>91</v>
      </c>
      <c r="B92" s="3" t="str">
        <f>"201900027170"</f>
        <v>201900027170</v>
      </c>
      <c r="C92" s="3" t="str">
        <f>"141445"</f>
        <v>141445</v>
      </c>
      <c r="D92" s="3" t="s">
        <v>537</v>
      </c>
      <c r="E92" s="3">
        <v>20600150562</v>
      </c>
      <c r="F92" s="3" t="s">
        <v>538</v>
      </c>
      <c r="G92" s="3" t="s">
        <v>539</v>
      </c>
      <c r="H92" s="3" t="s">
        <v>30</v>
      </c>
      <c r="I92" s="3" t="s">
        <v>194</v>
      </c>
      <c r="J92" s="3" t="s">
        <v>244</v>
      </c>
      <c r="K92" s="3" t="s">
        <v>33</v>
      </c>
      <c r="L92" s="3" t="s">
        <v>34</v>
      </c>
      <c r="M92" s="3" t="s">
        <v>58</v>
      </c>
      <c r="N92" s="3" t="s">
        <v>58</v>
      </c>
      <c r="O92" s="3" t="s">
        <v>58</v>
      </c>
      <c r="P92" s="3"/>
      <c r="Q92" s="3"/>
      <c r="R92" s="3"/>
      <c r="S92" s="3"/>
      <c r="T92" s="3"/>
      <c r="U92" s="3"/>
      <c r="V92" s="3"/>
      <c r="W92" s="3"/>
      <c r="X92" s="3">
        <v>20000</v>
      </c>
      <c r="Y92" s="4">
        <v>43521</v>
      </c>
      <c r="Z92" s="3" t="s">
        <v>36</v>
      </c>
      <c r="AA92" s="3" t="s">
        <v>540</v>
      </c>
    </row>
    <row r="93" spans="1:27" ht="27.95" x14ac:dyDescent="0.3">
      <c r="A93" s="5">
        <v>92</v>
      </c>
      <c r="B93" s="5" t="str">
        <f>"201900094264"</f>
        <v>201900094264</v>
      </c>
      <c r="C93" s="5" t="str">
        <f>"132812"</f>
        <v>132812</v>
      </c>
      <c r="D93" s="5" t="s">
        <v>541</v>
      </c>
      <c r="E93" s="5">
        <v>20487568083</v>
      </c>
      <c r="F93" s="5" t="s">
        <v>542</v>
      </c>
      <c r="G93" s="5" t="s">
        <v>243</v>
      </c>
      <c r="H93" s="5" t="s">
        <v>30</v>
      </c>
      <c r="I93" s="5" t="s">
        <v>194</v>
      </c>
      <c r="J93" s="5" t="s">
        <v>244</v>
      </c>
      <c r="K93" s="5" t="s">
        <v>33</v>
      </c>
      <c r="L93" s="5" t="s">
        <v>34</v>
      </c>
      <c r="M93" s="5" t="s">
        <v>207</v>
      </c>
      <c r="N93" s="5" t="s">
        <v>58</v>
      </c>
      <c r="O93" s="5" t="s">
        <v>58</v>
      </c>
      <c r="P93" s="5"/>
      <c r="Q93" s="5"/>
      <c r="R93" s="5"/>
      <c r="S93" s="5"/>
      <c r="T93" s="5"/>
      <c r="U93" s="5"/>
      <c r="V93" s="5"/>
      <c r="W93" s="5"/>
      <c r="X93" s="5">
        <v>20000</v>
      </c>
      <c r="Y93" s="6">
        <v>43634</v>
      </c>
      <c r="Z93" s="5" t="s">
        <v>36</v>
      </c>
      <c r="AA93" s="5" t="s">
        <v>543</v>
      </c>
    </row>
    <row r="94" spans="1:27" ht="27.95" x14ac:dyDescent="0.3">
      <c r="A94" s="3">
        <v>93</v>
      </c>
      <c r="B94" s="3" t="str">
        <f>"201600027028"</f>
        <v>201600027028</v>
      </c>
      <c r="C94" s="3" t="str">
        <f>"119633"</f>
        <v>119633</v>
      </c>
      <c r="D94" s="3" t="s">
        <v>544</v>
      </c>
      <c r="E94" s="3">
        <v>20493421876</v>
      </c>
      <c r="F94" s="3" t="s">
        <v>179</v>
      </c>
      <c r="G94" s="3" t="s">
        <v>545</v>
      </c>
      <c r="H94" s="3" t="s">
        <v>30</v>
      </c>
      <c r="I94" s="3" t="s">
        <v>31</v>
      </c>
      <c r="J94" s="3" t="s">
        <v>32</v>
      </c>
      <c r="K94" s="3" t="s">
        <v>33</v>
      </c>
      <c r="L94" s="3" t="s">
        <v>421</v>
      </c>
      <c r="M94" s="3" t="s">
        <v>421</v>
      </c>
      <c r="N94" s="3" t="s">
        <v>421</v>
      </c>
      <c r="O94" s="3" t="s">
        <v>422</v>
      </c>
      <c r="P94" s="3"/>
      <c r="Q94" s="3"/>
      <c r="R94" s="3"/>
      <c r="S94" s="3"/>
      <c r="T94" s="3"/>
      <c r="U94" s="3"/>
      <c r="V94" s="3"/>
      <c r="W94" s="3"/>
      <c r="X94" s="3">
        <v>73924</v>
      </c>
      <c r="Y94" s="4">
        <v>42444</v>
      </c>
      <c r="Z94" s="3" t="s">
        <v>36</v>
      </c>
      <c r="AA94" s="3" t="s">
        <v>208</v>
      </c>
    </row>
    <row r="95" spans="1:27" ht="27.95" x14ac:dyDescent="0.3">
      <c r="A95" s="5">
        <v>94</v>
      </c>
      <c r="B95" s="5" t="str">
        <f>"201900096123"</f>
        <v>201900096123</v>
      </c>
      <c r="C95" s="5" t="str">
        <f>"16745"</f>
        <v>16745</v>
      </c>
      <c r="D95" s="5" t="s">
        <v>546</v>
      </c>
      <c r="E95" s="5">
        <v>20604178861</v>
      </c>
      <c r="F95" s="5" t="s">
        <v>547</v>
      </c>
      <c r="G95" s="5" t="s">
        <v>548</v>
      </c>
      <c r="H95" s="5" t="s">
        <v>30</v>
      </c>
      <c r="I95" s="5" t="s">
        <v>41</v>
      </c>
      <c r="J95" s="5" t="s">
        <v>42</v>
      </c>
      <c r="K95" s="5" t="s">
        <v>33</v>
      </c>
      <c r="L95" s="5" t="s">
        <v>92</v>
      </c>
      <c r="M95" s="5" t="s">
        <v>92</v>
      </c>
      <c r="N95" s="5" t="s">
        <v>91</v>
      </c>
      <c r="O95" s="5" t="s">
        <v>549</v>
      </c>
      <c r="P95" s="5"/>
      <c r="Q95" s="5"/>
      <c r="R95" s="5"/>
      <c r="S95" s="5"/>
      <c r="T95" s="5"/>
      <c r="U95" s="5"/>
      <c r="V95" s="5"/>
      <c r="W95" s="5"/>
      <c r="X95" s="5">
        <v>24000</v>
      </c>
      <c r="Y95" s="6">
        <v>43637</v>
      </c>
      <c r="Z95" s="5" t="s">
        <v>36</v>
      </c>
      <c r="AA95" s="5" t="s">
        <v>550</v>
      </c>
    </row>
    <row r="96" spans="1:27" x14ac:dyDescent="0.3">
      <c r="A96" s="3">
        <v>95</v>
      </c>
      <c r="B96" s="3" t="str">
        <f>"201900025165"</f>
        <v>201900025165</v>
      </c>
      <c r="C96" s="3" t="str">
        <f>"16708"</f>
        <v>16708</v>
      </c>
      <c r="D96" s="3" t="s">
        <v>551</v>
      </c>
      <c r="E96" s="3">
        <v>20493421876</v>
      </c>
      <c r="F96" s="3" t="s">
        <v>552</v>
      </c>
      <c r="G96" s="3" t="s">
        <v>218</v>
      </c>
      <c r="H96" s="3" t="s">
        <v>30</v>
      </c>
      <c r="I96" s="3" t="s">
        <v>41</v>
      </c>
      <c r="J96" s="3" t="s">
        <v>118</v>
      </c>
      <c r="K96" s="3" t="s">
        <v>33</v>
      </c>
      <c r="L96" s="3" t="s">
        <v>553</v>
      </c>
      <c r="M96" s="3" t="s">
        <v>554</v>
      </c>
      <c r="N96" s="3" t="s">
        <v>555</v>
      </c>
      <c r="O96" s="3"/>
      <c r="P96" s="3"/>
      <c r="Q96" s="3"/>
      <c r="R96" s="3"/>
      <c r="S96" s="3"/>
      <c r="T96" s="3"/>
      <c r="U96" s="3"/>
      <c r="V96" s="3"/>
      <c r="W96" s="3"/>
      <c r="X96" s="3">
        <v>15200</v>
      </c>
      <c r="Y96" s="4">
        <v>43521</v>
      </c>
      <c r="Z96" s="3" t="s">
        <v>36</v>
      </c>
      <c r="AA96" s="3" t="s">
        <v>184</v>
      </c>
    </row>
    <row r="97" spans="1:27" x14ac:dyDescent="0.3">
      <c r="A97" s="5">
        <v>96</v>
      </c>
      <c r="B97" s="5" t="str">
        <f>"202000053815"</f>
        <v>202000053815</v>
      </c>
      <c r="C97" s="5" t="str">
        <f>"109057"</f>
        <v>109057</v>
      </c>
      <c r="D97" s="5" t="s">
        <v>556</v>
      </c>
      <c r="E97" s="5">
        <v>20175642341</v>
      </c>
      <c r="F97" s="5" t="s">
        <v>557</v>
      </c>
      <c r="G97" s="5" t="s">
        <v>64</v>
      </c>
      <c r="H97" s="5" t="s">
        <v>65</v>
      </c>
      <c r="I97" s="5" t="s">
        <v>66</v>
      </c>
      <c r="J97" s="5" t="s">
        <v>66</v>
      </c>
      <c r="K97" s="5" t="s">
        <v>33</v>
      </c>
      <c r="L97" s="5" t="s">
        <v>365</v>
      </c>
      <c r="M97" s="5" t="s">
        <v>365</v>
      </c>
      <c r="N97" s="5" t="s">
        <v>365</v>
      </c>
      <c r="O97" s="5" t="s">
        <v>365</v>
      </c>
      <c r="P97" s="5" t="s">
        <v>365</v>
      </c>
      <c r="Q97" s="5" t="s">
        <v>365</v>
      </c>
      <c r="R97" s="5"/>
      <c r="S97" s="5"/>
      <c r="T97" s="5"/>
      <c r="U97" s="5"/>
      <c r="V97" s="5"/>
      <c r="W97" s="5"/>
      <c r="X97" s="5">
        <v>12000</v>
      </c>
      <c r="Y97" s="6">
        <v>43954</v>
      </c>
      <c r="Z97" s="5" t="s">
        <v>36</v>
      </c>
      <c r="AA97" s="5" t="s">
        <v>558</v>
      </c>
    </row>
    <row r="98" spans="1:27" ht="41.95" x14ac:dyDescent="0.3">
      <c r="A98" s="3">
        <v>97</v>
      </c>
      <c r="B98" s="3" t="str">
        <f>"201500093935"</f>
        <v>201500093935</v>
      </c>
      <c r="C98" s="3" t="str">
        <f>"106546"</f>
        <v>106546</v>
      </c>
      <c r="D98" s="3" t="s">
        <v>559</v>
      </c>
      <c r="E98" s="3">
        <v>20541165275</v>
      </c>
      <c r="F98" s="3" t="s">
        <v>525</v>
      </c>
      <c r="G98" s="3" t="s">
        <v>560</v>
      </c>
      <c r="H98" s="3" t="s">
        <v>30</v>
      </c>
      <c r="I98" s="3" t="s">
        <v>30</v>
      </c>
      <c r="J98" s="3" t="s">
        <v>90</v>
      </c>
      <c r="K98" s="3" t="s">
        <v>33</v>
      </c>
      <c r="L98" s="3" t="s">
        <v>34</v>
      </c>
      <c r="M98" s="3" t="s">
        <v>58</v>
      </c>
      <c r="N98" s="3" t="s">
        <v>58</v>
      </c>
      <c r="O98" s="3" t="s">
        <v>58</v>
      </c>
      <c r="P98" s="3"/>
      <c r="Q98" s="3"/>
      <c r="R98" s="3"/>
      <c r="S98" s="3"/>
      <c r="T98" s="3"/>
      <c r="U98" s="3"/>
      <c r="V98" s="3"/>
      <c r="W98" s="3"/>
      <c r="X98" s="3">
        <v>20000</v>
      </c>
      <c r="Y98" s="4">
        <v>42202</v>
      </c>
      <c r="Z98" s="3" t="s">
        <v>36</v>
      </c>
      <c r="AA98" s="3" t="s">
        <v>528</v>
      </c>
    </row>
    <row r="99" spans="1:27" ht="27.95" x14ac:dyDescent="0.3">
      <c r="A99" s="5">
        <v>98</v>
      </c>
      <c r="B99" s="5" t="str">
        <f>"202000064067"</f>
        <v>202000064067</v>
      </c>
      <c r="C99" s="5" t="str">
        <f>"127938"</f>
        <v>127938</v>
      </c>
      <c r="D99" s="5" t="s">
        <v>561</v>
      </c>
      <c r="E99" s="5">
        <v>10059578273</v>
      </c>
      <c r="F99" s="5" t="s">
        <v>562</v>
      </c>
      <c r="G99" s="5" t="s">
        <v>563</v>
      </c>
      <c r="H99" s="5" t="s">
        <v>80</v>
      </c>
      <c r="I99" s="5" t="s">
        <v>392</v>
      </c>
      <c r="J99" s="5" t="s">
        <v>469</v>
      </c>
      <c r="K99" s="5" t="s">
        <v>33</v>
      </c>
      <c r="L99" s="5" t="s">
        <v>564</v>
      </c>
      <c r="M99" s="5" t="s">
        <v>564</v>
      </c>
      <c r="N99" s="5" t="s">
        <v>148</v>
      </c>
      <c r="O99" s="5" t="s">
        <v>565</v>
      </c>
      <c r="P99" s="5" t="s">
        <v>565</v>
      </c>
      <c r="Q99" s="5" t="s">
        <v>565</v>
      </c>
      <c r="R99" s="5"/>
      <c r="S99" s="5"/>
      <c r="T99" s="5"/>
      <c r="U99" s="5"/>
      <c r="V99" s="5"/>
      <c r="W99" s="5"/>
      <c r="X99" s="5">
        <v>22400</v>
      </c>
      <c r="Y99" s="6">
        <v>44098</v>
      </c>
      <c r="Z99" s="5" t="s">
        <v>36</v>
      </c>
      <c r="AA99" s="5" t="s">
        <v>562</v>
      </c>
    </row>
    <row r="100" spans="1:27" x14ac:dyDescent="0.3">
      <c r="A100" s="3">
        <v>99</v>
      </c>
      <c r="B100" s="3" t="str">
        <f>"201800082522"</f>
        <v>201800082522</v>
      </c>
      <c r="C100" s="3" t="str">
        <f>"122434"</f>
        <v>122434</v>
      </c>
      <c r="D100" s="3" t="s">
        <v>566</v>
      </c>
      <c r="E100" s="3">
        <v>10058662149</v>
      </c>
      <c r="F100" s="3" t="s">
        <v>567</v>
      </c>
      <c r="G100" s="3" t="s">
        <v>277</v>
      </c>
      <c r="H100" s="3" t="s">
        <v>30</v>
      </c>
      <c r="I100" s="3" t="s">
        <v>80</v>
      </c>
      <c r="J100" s="3" t="s">
        <v>314</v>
      </c>
      <c r="K100" s="3" t="s">
        <v>33</v>
      </c>
      <c r="L100" s="3" t="s">
        <v>568</v>
      </c>
      <c r="M100" s="3" t="s">
        <v>568</v>
      </c>
      <c r="N100" s="3" t="s">
        <v>568</v>
      </c>
      <c r="O100" s="3" t="s">
        <v>569</v>
      </c>
      <c r="P100" s="3"/>
      <c r="Q100" s="3"/>
      <c r="R100" s="3"/>
      <c r="S100" s="3"/>
      <c r="T100" s="3"/>
      <c r="U100" s="3"/>
      <c r="V100" s="3"/>
      <c r="W100" s="3"/>
      <c r="X100" s="3">
        <v>19200</v>
      </c>
      <c r="Y100" s="4">
        <v>43244</v>
      </c>
      <c r="Z100" s="3" t="s">
        <v>36</v>
      </c>
      <c r="AA100" s="3" t="s">
        <v>567</v>
      </c>
    </row>
    <row r="101" spans="1:27" ht="27.95" x14ac:dyDescent="0.3">
      <c r="A101" s="5">
        <v>100</v>
      </c>
      <c r="B101" s="5" t="str">
        <f>"201800191276"</f>
        <v>201800191276</v>
      </c>
      <c r="C101" s="5" t="str">
        <f>"136901"</f>
        <v>136901</v>
      </c>
      <c r="D101" s="5" t="s">
        <v>570</v>
      </c>
      <c r="E101" s="5">
        <v>10218574861</v>
      </c>
      <c r="F101" s="5" t="s">
        <v>571</v>
      </c>
      <c r="G101" s="5" t="s">
        <v>391</v>
      </c>
      <c r="H101" s="5" t="s">
        <v>80</v>
      </c>
      <c r="I101" s="5" t="s">
        <v>392</v>
      </c>
      <c r="J101" s="5" t="s">
        <v>393</v>
      </c>
      <c r="K101" s="5" t="s">
        <v>33</v>
      </c>
      <c r="L101" s="5" t="s">
        <v>572</v>
      </c>
      <c r="M101" s="5" t="s">
        <v>572</v>
      </c>
      <c r="N101" s="5" t="s">
        <v>573</v>
      </c>
      <c r="O101" s="5" t="s">
        <v>574</v>
      </c>
      <c r="P101" s="5"/>
      <c r="Q101" s="5"/>
      <c r="R101" s="5"/>
      <c r="S101" s="5"/>
      <c r="T101" s="5"/>
      <c r="U101" s="5"/>
      <c r="V101" s="5"/>
      <c r="W101" s="5"/>
      <c r="X101" s="5">
        <v>13200</v>
      </c>
      <c r="Y101" s="6">
        <v>43421</v>
      </c>
      <c r="Z101" s="5" t="s">
        <v>36</v>
      </c>
      <c r="AA101" s="5" t="s">
        <v>571</v>
      </c>
    </row>
    <row r="102" spans="1:27" ht="27.95" x14ac:dyDescent="0.3">
      <c r="A102" s="3">
        <v>101</v>
      </c>
      <c r="B102" s="3" t="str">
        <f>"201600021400"</f>
        <v>201600021400</v>
      </c>
      <c r="C102" s="3" t="str">
        <f>"114607"</f>
        <v>114607</v>
      </c>
      <c r="D102" s="3" t="s">
        <v>575</v>
      </c>
      <c r="E102" s="3">
        <v>20541204947</v>
      </c>
      <c r="F102" s="3" t="s">
        <v>576</v>
      </c>
      <c r="G102" s="3" t="s">
        <v>577</v>
      </c>
      <c r="H102" s="3" t="s">
        <v>30</v>
      </c>
      <c r="I102" s="3" t="s">
        <v>31</v>
      </c>
      <c r="J102" s="3" t="s">
        <v>32</v>
      </c>
      <c r="K102" s="3" t="s">
        <v>33</v>
      </c>
      <c r="L102" s="3" t="s">
        <v>578</v>
      </c>
      <c r="M102" s="3" t="s">
        <v>579</v>
      </c>
      <c r="N102" s="3" t="s">
        <v>580</v>
      </c>
      <c r="O102" s="3" t="s">
        <v>580</v>
      </c>
      <c r="P102" s="3" t="s">
        <v>581</v>
      </c>
      <c r="Q102" s="3" t="s">
        <v>582</v>
      </c>
      <c r="R102" s="3"/>
      <c r="S102" s="3"/>
      <c r="T102" s="3"/>
      <c r="U102" s="3"/>
      <c r="V102" s="3"/>
      <c r="W102" s="3"/>
      <c r="X102" s="3">
        <v>26108</v>
      </c>
      <c r="Y102" s="4">
        <v>42430</v>
      </c>
      <c r="Z102" s="3" t="s">
        <v>36</v>
      </c>
      <c r="AA102" s="3" t="s">
        <v>583</v>
      </c>
    </row>
    <row r="103" spans="1:27" ht="27.95" x14ac:dyDescent="0.3">
      <c r="A103" s="5">
        <v>102</v>
      </c>
      <c r="B103" s="5" t="str">
        <f>"201900002051"</f>
        <v>201900002051</v>
      </c>
      <c r="C103" s="5" t="str">
        <f>"140648"</f>
        <v>140648</v>
      </c>
      <c r="D103" s="5" t="s">
        <v>584</v>
      </c>
      <c r="E103" s="5">
        <v>20602754376</v>
      </c>
      <c r="F103" s="5" t="s">
        <v>585</v>
      </c>
      <c r="G103" s="5" t="s">
        <v>586</v>
      </c>
      <c r="H103" s="5" t="s">
        <v>30</v>
      </c>
      <c r="I103" s="5" t="s">
        <v>31</v>
      </c>
      <c r="J103" s="5" t="s">
        <v>32</v>
      </c>
      <c r="K103" s="5" t="s">
        <v>33</v>
      </c>
      <c r="L103" s="5" t="s">
        <v>34</v>
      </c>
      <c r="M103" s="5" t="s">
        <v>58</v>
      </c>
      <c r="N103" s="5" t="s">
        <v>58</v>
      </c>
      <c r="O103" s="5" t="s">
        <v>58</v>
      </c>
      <c r="P103" s="5"/>
      <c r="Q103" s="5"/>
      <c r="R103" s="5"/>
      <c r="S103" s="5"/>
      <c r="T103" s="5"/>
      <c r="U103" s="5"/>
      <c r="V103" s="5"/>
      <c r="W103" s="5"/>
      <c r="X103" s="5">
        <v>20000</v>
      </c>
      <c r="Y103" s="6">
        <v>43473</v>
      </c>
      <c r="Z103" s="5" t="s">
        <v>36</v>
      </c>
      <c r="AA103" s="5" t="s">
        <v>587</v>
      </c>
    </row>
    <row r="104" spans="1:27" ht="27.95" x14ac:dyDescent="0.3">
      <c r="A104" s="3">
        <v>103</v>
      </c>
      <c r="B104" s="3" t="str">
        <f>"202000013563"</f>
        <v>202000013563</v>
      </c>
      <c r="C104" s="3" t="str">
        <f>"148914"</f>
        <v>148914</v>
      </c>
      <c r="D104" s="3" t="s">
        <v>588</v>
      </c>
      <c r="E104" s="3">
        <v>20541244817</v>
      </c>
      <c r="F104" s="3" t="s">
        <v>28</v>
      </c>
      <c r="G104" s="3" t="s">
        <v>589</v>
      </c>
      <c r="H104" s="3" t="s">
        <v>590</v>
      </c>
      <c r="I104" s="3" t="s">
        <v>591</v>
      </c>
      <c r="J104" s="3" t="s">
        <v>592</v>
      </c>
      <c r="K104" s="3" t="s">
        <v>33</v>
      </c>
      <c r="L104" s="3" t="s">
        <v>34</v>
      </c>
      <c r="M104" s="3" t="s">
        <v>593</v>
      </c>
      <c r="N104" s="3" t="s">
        <v>35</v>
      </c>
      <c r="O104" s="3" t="s">
        <v>35</v>
      </c>
      <c r="P104" s="3"/>
      <c r="Q104" s="3"/>
      <c r="R104" s="3"/>
      <c r="S104" s="3"/>
      <c r="T104" s="3"/>
      <c r="U104" s="3"/>
      <c r="V104" s="3"/>
      <c r="W104" s="3"/>
      <c r="X104" s="3">
        <v>35000</v>
      </c>
      <c r="Y104" s="4">
        <v>43865</v>
      </c>
      <c r="Z104" s="3" t="s">
        <v>36</v>
      </c>
      <c r="AA104" s="3" t="s">
        <v>37</v>
      </c>
    </row>
    <row r="105" spans="1:27" ht="27.95" x14ac:dyDescent="0.3">
      <c r="A105" s="5">
        <v>104</v>
      </c>
      <c r="B105" s="5" t="str">
        <f>"202000128244"</f>
        <v>202000128244</v>
      </c>
      <c r="C105" s="5" t="str">
        <f>"17884"</f>
        <v>17884</v>
      </c>
      <c r="D105" s="5" t="s">
        <v>594</v>
      </c>
      <c r="E105" s="5">
        <v>20403202372</v>
      </c>
      <c r="F105" s="5" t="s">
        <v>595</v>
      </c>
      <c r="G105" s="5" t="s">
        <v>596</v>
      </c>
      <c r="H105" s="5" t="s">
        <v>532</v>
      </c>
      <c r="I105" s="5" t="s">
        <v>533</v>
      </c>
      <c r="J105" s="5" t="s">
        <v>534</v>
      </c>
      <c r="K105" s="5" t="s">
        <v>33</v>
      </c>
      <c r="L105" s="5" t="s">
        <v>597</v>
      </c>
      <c r="M105" s="5" t="s">
        <v>597</v>
      </c>
      <c r="N105" s="5" t="s">
        <v>597</v>
      </c>
      <c r="O105" s="5" t="s">
        <v>597</v>
      </c>
      <c r="P105" s="5"/>
      <c r="Q105" s="5"/>
      <c r="R105" s="5"/>
      <c r="S105" s="5"/>
      <c r="T105" s="5"/>
      <c r="U105" s="5"/>
      <c r="V105" s="5"/>
      <c r="W105" s="5"/>
      <c r="X105" s="5">
        <v>18000</v>
      </c>
      <c r="Y105" s="6">
        <v>44099</v>
      </c>
      <c r="Z105" s="5" t="s">
        <v>36</v>
      </c>
      <c r="AA105" s="5" t="s">
        <v>536</v>
      </c>
    </row>
    <row r="106" spans="1:27" ht="27.95" x14ac:dyDescent="0.3">
      <c r="A106" s="3">
        <v>105</v>
      </c>
      <c r="B106" s="3" t="str">
        <f>"201600055610"</f>
        <v>201600055610</v>
      </c>
      <c r="C106" s="3" t="str">
        <f>"119173"</f>
        <v>119173</v>
      </c>
      <c r="D106" s="3" t="s">
        <v>598</v>
      </c>
      <c r="E106" s="3">
        <v>20541165275</v>
      </c>
      <c r="F106" s="3" t="s">
        <v>525</v>
      </c>
      <c r="G106" s="3" t="s">
        <v>599</v>
      </c>
      <c r="H106" s="3" t="s">
        <v>30</v>
      </c>
      <c r="I106" s="3" t="s">
        <v>31</v>
      </c>
      <c r="J106" s="3" t="s">
        <v>32</v>
      </c>
      <c r="K106" s="3" t="s">
        <v>33</v>
      </c>
      <c r="L106" s="3" t="s">
        <v>34</v>
      </c>
      <c r="M106" s="3" t="s">
        <v>58</v>
      </c>
      <c r="N106" s="3" t="s">
        <v>58</v>
      </c>
      <c r="O106" s="3" t="s">
        <v>58</v>
      </c>
      <c r="P106" s="3"/>
      <c r="Q106" s="3"/>
      <c r="R106" s="3"/>
      <c r="S106" s="3"/>
      <c r="T106" s="3"/>
      <c r="U106" s="3"/>
      <c r="V106" s="3"/>
      <c r="W106" s="3"/>
      <c r="X106" s="3">
        <v>20000</v>
      </c>
      <c r="Y106" s="4">
        <v>42493</v>
      </c>
      <c r="Z106" s="3" t="s">
        <v>36</v>
      </c>
      <c r="AA106" s="3" t="s">
        <v>528</v>
      </c>
    </row>
    <row r="107" spans="1:27" x14ac:dyDescent="0.3">
      <c r="A107" s="5">
        <v>106</v>
      </c>
      <c r="B107" s="5" t="str">
        <f>"201500165586"</f>
        <v>201500165586</v>
      </c>
      <c r="C107" s="5" t="str">
        <f>"110929"</f>
        <v>110929</v>
      </c>
      <c r="D107" s="5" t="s">
        <v>600</v>
      </c>
      <c r="E107" s="5">
        <v>10008447263</v>
      </c>
      <c r="F107" s="5" t="s">
        <v>601</v>
      </c>
      <c r="G107" s="5" t="s">
        <v>602</v>
      </c>
      <c r="H107" s="5" t="s">
        <v>80</v>
      </c>
      <c r="I107" s="5" t="s">
        <v>603</v>
      </c>
      <c r="J107" s="5" t="s">
        <v>603</v>
      </c>
      <c r="K107" s="5" t="s">
        <v>33</v>
      </c>
      <c r="L107" s="5" t="s">
        <v>604</v>
      </c>
      <c r="M107" s="5" t="s">
        <v>605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>
        <v>2522</v>
      </c>
      <c r="Y107" s="6">
        <v>42356</v>
      </c>
      <c r="Z107" s="5" t="s">
        <v>36</v>
      </c>
      <c r="AA107" s="5" t="s">
        <v>601</v>
      </c>
    </row>
    <row r="108" spans="1:27" ht="27.95" x14ac:dyDescent="0.3">
      <c r="A108" s="3">
        <v>107</v>
      </c>
      <c r="B108" s="3" t="str">
        <f>"201900051494"</f>
        <v>201900051494</v>
      </c>
      <c r="C108" s="3" t="str">
        <f>"117908"</f>
        <v>117908</v>
      </c>
      <c r="D108" s="3" t="s">
        <v>606</v>
      </c>
      <c r="E108" s="3">
        <v>20602588352</v>
      </c>
      <c r="F108" s="3" t="s">
        <v>607</v>
      </c>
      <c r="G108" s="3" t="s">
        <v>608</v>
      </c>
      <c r="H108" s="3" t="s">
        <v>30</v>
      </c>
      <c r="I108" s="3" t="s">
        <v>41</v>
      </c>
      <c r="J108" s="3" t="s">
        <v>118</v>
      </c>
      <c r="K108" s="3" t="s">
        <v>33</v>
      </c>
      <c r="L108" s="3" t="s">
        <v>609</v>
      </c>
      <c r="M108" s="3" t="s">
        <v>609</v>
      </c>
      <c r="N108" s="3" t="s">
        <v>610</v>
      </c>
      <c r="O108" s="3"/>
      <c r="P108" s="3"/>
      <c r="Q108" s="3"/>
      <c r="R108" s="3"/>
      <c r="S108" s="3"/>
      <c r="T108" s="3"/>
      <c r="U108" s="3"/>
      <c r="V108" s="3"/>
      <c r="W108" s="3"/>
      <c r="X108" s="3">
        <v>7800</v>
      </c>
      <c r="Y108" s="4">
        <v>43556</v>
      </c>
      <c r="Z108" s="3" t="s">
        <v>36</v>
      </c>
      <c r="AA108" s="3" t="s">
        <v>611</v>
      </c>
    </row>
    <row r="109" spans="1:27" x14ac:dyDescent="0.3">
      <c r="A109" s="5">
        <v>108</v>
      </c>
      <c r="B109" s="5" t="str">
        <f>"201900035008"</f>
        <v>201900035008</v>
      </c>
      <c r="C109" s="5" t="str">
        <f>"141718"</f>
        <v>141718</v>
      </c>
      <c r="D109" s="5" t="s">
        <v>612</v>
      </c>
      <c r="E109" s="5">
        <v>20528229477</v>
      </c>
      <c r="F109" s="5" t="s">
        <v>330</v>
      </c>
      <c r="G109" s="5" t="s">
        <v>613</v>
      </c>
      <c r="H109" s="5" t="s">
        <v>30</v>
      </c>
      <c r="I109" s="5" t="s">
        <v>41</v>
      </c>
      <c r="J109" s="5" t="s">
        <v>614</v>
      </c>
      <c r="K109" s="5" t="s">
        <v>33</v>
      </c>
      <c r="L109" s="5" t="s">
        <v>615</v>
      </c>
      <c r="M109" s="5" t="s">
        <v>616</v>
      </c>
      <c r="N109" s="5" t="s">
        <v>295</v>
      </c>
      <c r="O109" s="5"/>
      <c r="P109" s="5"/>
      <c r="Q109" s="5"/>
      <c r="R109" s="5"/>
      <c r="S109" s="5"/>
      <c r="T109" s="5"/>
      <c r="U109" s="5"/>
      <c r="V109" s="5"/>
      <c r="W109" s="5"/>
      <c r="X109" s="5">
        <v>10475</v>
      </c>
      <c r="Y109" s="6">
        <v>43530</v>
      </c>
      <c r="Z109" s="5" t="s">
        <v>36</v>
      </c>
      <c r="AA109" s="5" t="s">
        <v>617</v>
      </c>
    </row>
    <row r="110" spans="1:27" ht="27.95" x14ac:dyDescent="0.3">
      <c r="A110" s="3">
        <v>109</v>
      </c>
      <c r="B110" s="3" t="str">
        <f>"1974817"</f>
        <v>1974817</v>
      </c>
      <c r="C110" s="3" t="str">
        <f>"85653"</f>
        <v>85653</v>
      </c>
      <c r="D110" s="3" t="s">
        <v>618</v>
      </c>
      <c r="E110" s="3">
        <v>10335966274</v>
      </c>
      <c r="F110" s="3" t="s">
        <v>164</v>
      </c>
      <c r="G110" s="3" t="s">
        <v>526</v>
      </c>
      <c r="H110" s="3" t="s">
        <v>30</v>
      </c>
      <c r="I110" s="3" t="s">
        <v>194</v>
      </c>
      <c r="J110" s="3" t="s">
        <v>195</v>
      </c>
      <c r="K110" s="3" t="s">
        <v>33</v>
      </c>
      <c r="L110" s="3" t="s">
        <v>619</v>
      </c>
      <c r="M110" s="3" t="s">
        <v>620</v>
      </c>
      <c r="N110" s="3" t="s">
        <v>621</v>
      </c>
      <c r="O110" s="3" t="s">
        <v>58</v>
      </c>
      <c r="P110" s="3"/>
      <c r="Q110" s="3"/>
      <c r="R110" s="3"/>
      <c r="S110" s="3"/>
      <c r="T110" s="3"/>
      <c r="U110" s="3"/>
      <c r="V110" s="3"/>
      <c r="W110" s="3"/>
      <c r="X110" s="3">
        <v>20000</v>
      </c>
      <c r="Y110" s="4">
        <v>40255</v>
      </c>
      <c r="Z110" s="3" t="s">
        <v>36</v>
      </c>
      <c r="AA110" s="3" t="s">
        <v>622</v>
      </c>
    </row>
    <row r="111" spans="1:27" x14ac:dyDescent="0.3">
      <c r="A111" s="5">
        <v>110</v>
      </c>
      <c r="B111" s="5" t="str">
        <f>"201900157981"</f>
        <v>201900157981</v>
      </c>
      <c r="C111" s="5" t="str">
        <f>"108274"</f>
        <v>108274</v>
      </c>
      <c r="D111" s="5" t="s">
        <v>623</v>
      </c>
      <c r="E111" s="5">
        <v>20528232931</v>
      </c>
      <c r="F111" s="5" t="s">
        <v>624</v>
      </c>
      <c r="G111" s="5" t="s">
        <v>218</v>
      </c>
      <c r="H111" s="5" t="s">
        <v>30</v>
      </c>
      <c r="I111" s="5" t="s">
        <v>41</v>
      </c>
      <c r="J111" s="5" t="s">
        <v>118</v>
      </c>
      <c r="K111" s="5" t="s">
        <v>33</v>
      </c>
      <c r="L111" s="5" t="s">
        <v>340</v>
      </c>
      <c r="M111" s="5" t="s">
        <v>625</v>
      </c>
      <c r="N111" s="5" t="s">
        <v>626</v>
      </c>
      <c r="O111" s="5" t="s">
        <v>626</v>
      </c>
      <c r="P111" s="5"/>
      <c r="Q111" s="5"/>
      <c r="R111" s="5"/>
      <c r="S111" s="5"/>
      <c r="T111" s="5"/>
      <c r="U111" s="5"/>
      <c r="V111" s="5"/>
      <c r="W111" s="5"/>
      <c r="X111" s="5">
        <v>26156</v>
      </c>
      <c r="Y111" s="6">
        <v>43740</v>
      </c>
      <c r="Z111" s="5" t="s">
        <v>36</v>
      </c>
      <c r="AA111" s="5" t="s">
        <v>627</v>
      </c>
    </row>
    <row r="112" spans="1:27" x14ac:dyDescent="0.3">
      <c r="A112" s="3">
        <v>111</v>
      </c>
      <c r="B112" s="3" t="str">
        <f>"201600148238"</f>
        <v>201600148238</v>
      </c>
      <c r="C112" s="3" t="str">
        <f>"121566"</f>
        <v>121566</v>
      </c>
      <c r="D112" s="3" t="s">
        <v>628</v>
      </c>
      <c r="E112" s="3">
        <v>10452674781</v>
      </c>
      <c r="F112" s="3" t="s">
        <v>629</v>
      </c>
      <c r="G112" s="3" t="s">
        <v>630</v>
      </c>
      <c r="H112" s="3" t="s">
        <v>30</v>
      </c>
      <c r="I112" s="3" t="s">
        <v>228</v>
      </c>
      <c r="J112" s="3" t="s">
        <v>228</v>
      </c>
      <c r="K112" s="3" t="s">
        <v>33</v>
      </c>
      <c r="L112" s="3" t="s">
        <v>631</v>
      </c>
      <c r="M112" s="3" t="s">
        <v>632</v>
      </c>
      <c r="N112" s="3" t="s">
        <v>633</v>
      </c>
      <c r="O112" s="3"/>
      <c r="P112" s="3"/>
      <c r="Q112" s="3"/>
      <c r="R112" s="3"/>
      <c r="S112" s="3"/>
      <c r="T112" s="3"/>
      <c r="U112" s="3"/>
      <c r="V112" s="3"/>
      <c r="W112" s="3"/>
      <c r="X112" s="3">
        <v>26250</v>
      </c>
      <c r="Y112" s="4">
        <v>42667</v>
      </c>
      <c r="Z112" s="3" t="s">
        <v>36</v>
      </c>
      <c r="AA112" s="3" t="s">
        <v>629</v>
      </c>
    </row>
    <row r="113" spans="1:27" ht="27.95" x14ac:dyDescent="0.3">
      <c r="A113" s="5">
        <v>112</v>
      </c>
      <c r="B113" s="5" t="str">
        <f>"201600038842"</f>
        <v>201600038842</v>
      </c>
      <c r="C113" s="5" t="str">
        <f>"84794"</f>
        <v>84794</v>
      </c>
      <c r="D113" s="5" t="s">
        <v>634</v>
      </c>
      <c r="E113" s="5">
        <v>20600922719</v>
      </c>
      <c r="F113" s="5" t="s">
        <v>635</v>
      </c>
      <c r="G113" s="5" t="s">
        <v>636</v>
      </c>
      <c r="H113" s="5" t="s">
        <v>30</v>
      </c>
      <c r="I113" s="5" t="s">
        <v>41</v>
      </c>
      <c r="J113" s="5" t="s">
        <v>42</v>
      </c>
      <c r="K113" s="5" t="s">
        <v>33</v>
      </c>
      <c r="L113" s="5" t="s">
        <v>637</v>
      </c>
      <c r="M113" s="5" t="s">
        <v>638</v>
      </c>
      <c r="N113" s="5" t="s">
        <v>639</v>
      </c>
      <c r="O113" s="5"/>
      <c r="P113" s="5"/>
      <c r="Q113" s="5"/>
      <c r="R113" s="5"/>
      <c r="S113" s="5"/>
      <c r="T113" s="5"/>
      <c r="U113" s="5"/>
      <c r="V113" s="5"/>
      <c r="W113" s="5"/>
      <c r="X113" s="5">
        <v>16714</v>
      </c>
      <c r="Y113" s="6">
        <v>42458</v>
      </c>
      <c r="Z113" s="5" t="s">
        <v>36</v>
      </c>
      <c r="AA113" s="5" t="s">
        <v>640</v>
      </c>
    </row>
    <row r="114" spans="1:27" ht="27.95" x14ac:dyDescent="0.3">
      <c r="A114" s="3">
        <v>113</v>
      </c>
      <c r="B114" s="3" t="str">
        <f>"201700116055"</f>
        <v>201700116055</v>
      </c>
      <c r="C114" s="3" t="str">
        <f>"129343"</f>
        <v>129343</v>
      </c>
      <c r="D114" s="3" t="s">
        <v>641</v>
      </c>
      <c r="E114" s="3">
        <v>20601122554</v>
      </c>
      <c r="F114" s="3" t="s">
        <v>642</v>
      </c>
      <c r="G114" s="3" t="s">
        <v>643</v>
      </c>
      <c r="H114" s="3" t="s">
        <v>72</v>
      </c>
      <c r="I114" s="3" t="s">
        <v>73</v>
      </c>
      <c r="J114" s="3" t="s">
        <v>73</v>
      </c>
      <c r="K114" s="3" t="s">
        <v>33</v>
      </c>
      <c r="L114" s="3" t="s">
        <v>644</v>
      </c>
      <c r="M114" s="3" t="s">
        <v>644</v>
      </c>
      <c r="N114" s="3" t="s">
        <v>645</v>
      </c>
      <c r="O114" s="3" t="s">
        <v>646</v>
      </c>
      <c r="P114" s="3"/>
      <c r="Q114" s="3"/>
      <c r="R114" s="3"/>
      <c r="S114" s="3"/>
      <c r="T114" s="3"/>
      <c r="U114" s="3"/>
      <c r="V114" s="3"/>
      <c r="W114" s="3"/>
      <c r="X114" s="3">
        <v>13518</v>
      </c>
      <c r="Y114" s="4">
        <v>42940</v>
      </c>
      <c r="Z114" s="3" t="s">
        <v>36</v>
      </c>
      <c r="AA114" s="3" t="s">
        <v>647</v>
      </c>
    </row>
    <row r="115" spans="1:27" ht="27.95" x14ac:dyDescent="0.3">
      <c r="A115" s="5">
        <v>114</v>
      </c>
      <c r="B115" s="5" t="str">
        <f>"201800016684"</f>
        <v>201800016684</v>
      </c>
      <c r="C115" s="5" t="str">
        <f>"134299"</f>
        <v>134299</v>
      </c>
      <c r="D115" s="5" t="s">
        <v>648</v>
      </c>
      <c r="E115" s="5">
        <v>10400520441</v>
      </c>
      <c r="F115" s="5" t="s">
        <v>93</v>
      </c>
      <c r="G115" s="5" t="s">
        <v>649</v>
      </c>
      <c r="H115" s="5" t="s">
        <v>30</v>
      </c>
      <c r="I115" s="5" t="s">
        <v>31</v>
      </c>
      <c r="J115" s="5" t="s">
        <v>204</v>
      </c>
      <c r="K115" s="5" t="s">
        <v>33</v>
      </c>
      <c r="L115" s="5" t="s">
        <v>91</v>
      </c>
      <c r="M115" s="5" t="s">
        <v>92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>
        <v>12000</v>
      </c>
      <c r="Y115" s="6">
        <v>43136</v>
      </c>
      <c r="Z115" s="5" t="s">
        <v>36</v>
      </c>
      <c r="AA115" s="5" t="s">
        <v>93</v>
      </c>
    </row>
    <row r="116" spans="1:27" ht="41.95" x14ac:dyDescent="0.3">
      <c r="A116" s="3">
        <v>115</v>
      </c>
      <c r="B116" s="3" t="str">
        <f>"1485632"</f>
        <v>1485632</v>
      </c>
      <c r="C116" s="3" t="str">
        <f>"92333"</f>
        <v>92333</v>
      </c>
      <c r="D116" s="3" t="s">
        <v>650</v>
      </c>
      <c r="E116" s="3">
        <v>10057148913</v>
      </c>
      <c r="F116" s="3" t="s">
        <v>651</v>
      </c>
      <c r="G116" s="3" t="s">
        <v>652</v>
      </c>
      <c r="H116" s="3" t="s">
        <v>30</v>
      </c>
      <c r="I116" s="3" t="s">
        <v>30</v>
      </c>
      <c r="J116" s="3" t="s">
        <v>90</v>
      </c>
      <c r="K116" s="3" t="s">
        <v>33</v>
      </c>
      <c r="L116" s="3" t="s">
        <v>653</v>
      </c>
      <c r="M116" s="3" t="s">
        <v>654</v>
      </c>
      <c r="N116" s="3" t="s">
        <v>655</v>
      </c>
      <c r="O116" s="3"/>
      <c r="P116" s="3"/>
      <c r="Q116" s="3"/>
      <c r="R116" s="3"/>
      <c r="S116" s="3"/>
      <c r="T116" s="3"/>
      <c r="U116" s="3"/>
      <c r="V116" s="3"/>
      <c r="W116" s="3"/>
      <c r="X116" s="3">
        <v>19870</v>
      </c>
      <c r="Y116" s="4">
        <v>40718</v>
      </c>
      <c r="Z116" s="3" t="s">
        <v>36</v>
      </c>
      <c r="AA116" s="3" t="s">
        <v>651</v>
      </c>
    </row>
    <row r="117" spans="1:27" ht="27.95" x14ac:dyDescent="0.3">
      <c r="A117" s="5">
        <v>116</v>
      </c>
      <c r="B117" s="5" t="str">
        <f>"201900180481"</f>
        <v>201900180481</v>
      </c>
      <c r="C117" s="5" t="str">
        <f>"34161"</f>
        <v>34161</v>
      </c>
      <c r="D117" s="5" t="s">
        <v>656</v>
      </c>
      <c r="E117" s="5">
        <v>20601891361</v>
      </c>
      <c r="F117" s="5" t="s">
        <v>657</v>
      </c>
      <c r="G117" s="5" t="s">
        <v>658</v>
      </c>
      <c r="H117" s="5" t="s">
        <v>30</v>
      </c>
      <c r="I117" s="5" t="s">
        <v>41</v>
      </c>
      <c r="J117" s="5" t="s">
        <v>133</v>
      </c>
      <c r="K117" s="5" t="s">
        <v>33</v>
      </c>
      <c r="L117" s="5" t="s">
        <v>659</v>
      </c>
      <c r="M117" s="5" t="s">
        <v>660</v>
      </c>
      <c r="N117" s="5" t="s">
        <v>660</v>
      </c>
      <c r="O117" s="5"/>
      <c r="P117" s="5"/>
      <c r="Q117" s="5"/>
      <c r="R117" s="5"/>
      <c r="S117" s="5"/>
      <c r="T117" s="5"/>
      <c r="U117" s="5"/>
      <c r="V117" s="5"/>
      <c r="W117" s="5"/>
      <c r="X117" s="5">
        <v>5705</v>
      </c>
      <c r="Y117" s="6">
        <v>43774</v>
      </c>
      <c r="Z117" s="5" t="s">
        <v>36</v>
      </c>
      <c r="AA117" s="5" t="s">
        <v>661</v>
      </c>
    </row>
    <row r="118" spans="1:27" ht="27.95" x14ac:dyDescent="0.3">
      <c r="A118" s="3">
        <v>117</v>
      </c>
      <c r="B118" s="3" t="str">
        <f>"202000105352"</f>
        <v>202000105352</v>
      </c>
      <c r="C118" s="3" t="str">
        <f>"31667"</f>
        <v>31667</v>
      </c>
      <c r="D118" s="3" t="s">
        <v>662</v>
      </c>
      <c r="E118" s="3">
        <v>20493167392</v>
      </c>
      <c r="F118" s="3" t="s">
        <v>663</v>
      </c>
      <c r="G118" s="3" t="s">
        <v>664</v>
      </c>
      <c r="H118" s="3" t="s">
        <v>30</v>
      </c>
      <c r="I118" s="3" t="s">
        <v>41</v>
      </c>
      <c r="J118" s="3" t="s">
        <v>42</v>
      </c>
      <c r="K118" s="3" t="s">
        <v>33</v>
      </c>
      <c r="L118" s="3" t="s">
        <v>665</v>
      </c>
      <c r="M118" s="3" t="s">
        <v>665</v>
      </c>
      <c r="N118" s="3" t="s">
        <v>666</v>
      </c>
      <c r="O118" s="3" t="s">
        <v>666</v>
      </c>
      <c r="P118" s="3" t="s">
        <v>667</v>
      </c>
      <c r="Q118" s="3" t="s">
        <v>668</v>
      </c>
      <c r="R118" s="3"/>
      <c r="S118" s="3"/>
      <c r="T118" s="3"/>
      <c r="U118" s="3"/>
      <c r="V118" s="3"/>
      <c r="W118" s="3"/>
      <c r="X118" s="3">
        <v>25744</v>
      </c>
      <c r="Y118" s="4">
        <v>44070</v>
      </c>
      <c r="Z118" s="3" t="s">
        <v>36</v>
      </c>
      <c r="AA118" s="3" t="s">
        <v>669</v>
      </c>
    </row>
    <row r="119" spans="1:27" x14ac:dyDescent="0.3">
      <c r="A119" s="5">
        <v>118</v>
      </c>
      <c r="B119" s="5" t="str">
        <f>"1468750"</f>
        <v>1468750</v>
      </c>
      <c r="C119" s="5" t="str">
        <f>"20113"</f>
        <v>20113</v>
      </c>
      <c r="D119" s="5" t="s">
        <v>670</v>
      </c>
      <c r="E119" s="5">
        <v>20487446131</v>
      </c>
      <c r="F119" s="5" t="s">
        <v>671</v>
      </c>
      <c r="G119" s="5" t="s">
        <v>672</v>
      </c>
      <c r="H119" s="5" t="s">
        <v>590</v>
      </c>
      <c r="I119" s="5" t="s">
        <v>591</v>
      </c>
      <c r="J119" s="5" t="s">
        <v>592</v>
      </c>
      <c r="K119" s="5" t="s">
        <v>33</v>
      </c>
      <c r="L119" s="5" t="s">
        <v>673</v>
      </c>
      <c r="M119" s="5" t="s">
        <v>674</v>
      </c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>
        <v>440</v>
      </c>
      <c r="Y119" s="6">
        <v>40611</v>
      </c>
      <c r="Z119" s="5" t="s">
        <v>36</v>
      </c>
      <c r="AA119" s="5" t="s">
        <v>675</v>
      </c>
    </row>
    <row r="120" spans="1:27" ht="27.95" x14ac:dyDescent="0.3">
      <c r="A120" s="3">
        <v>119</v>
      </c>
      <c r="B120" s="3" t="str">
        <f>"201700139760"</f>
        <v>201700139760</v>
      </c>
      <c r="C120" s="3" t="str">
        <f>"18542"</f>
        <v>18542</v>
      </c>
      <c r="D120" s="3" t="s">
        <v>676</v>
      </c>
      <c r="E120" s="3">
        <v>10236778741</v>
      </c>
      <c r="F120" s="3" t="s">
        <v>677</v>
      </c>
      <c r="G120" s="3" t="s">
        <v>678</v>
      </c>
      <c r="H120" s="3" t="s">
        <v>80</v>
      </c>
      <c r="I120" s="3" t="s">
        <v>81</v>
      </c>
      <c r="J120" s="3" t="s">
        <v>82</v>
      </c>
      <c r="K120" s="3" t="s">
        <v>33</v>
      </c>
      <c r="L120" s="3" t="s">
        <v>512</v>
      </c>
      <c r="M120" s="3" t="s">
        <v>512</v>
      </c>
      <c r="N120" s="3" t="s">
        <v>679</v>
      </c>
      <c r="O120" s="3" t="s">
        <v>679</v>
      </c>
      <c r="P120" s="3"/>
      <c r="Q120" s="3"/>
      <c r="R120" s="3"/>
      <c r="S120" s="3"/>
      <c r="T120" s="3"/>
      <c r="U120" s="3"/>
      <c r="V120" s="3"/>
      <c r="W120" s="3"/>
      <c r="X120" s="3">
        <v>9800</v>
      </c>
      <c r="Y120" s="4">
        <v>42993</v>
      </c>
      <c r="Z120" s="3" t="s">
        <v>36</v>
      </c>
      <c r="AA120" s="3" t="s">
        <v>677</v>
      </c>
    </row>
    <row r="121" spans="1:27" x14ac:dyDescent="0.3">
      <c r="A121" s="5">
        <v>120</v>
      </c>
      <c r="B121" s="5" t="str">
        <f>"201800038352"</f>
        <v>201800038352</v>
      </c>
      <c r="C121" s="5" t="str">
        <f>"118132"</f>
        <v>118132</v>
      </c>
      <c r="D121" s="5" t="s">
        <v>680</v>
      </c>
      <c r="E121" s="5">
        <v>20550141753</v>
      </c>
      <c r="F121" s="5" t="s">
        <v>681</v>
      </c>
      <c r="G121" s="5" t="s">
        <v>317</v>
      </c>
      <c r="H121" s="5" t="s">
        <v>318</v>
      </c>
      <c r="I121" s="5" t="s">
        <v>318</v>
      </c>
      <c r="J121" s="5" t="s">
        <v>319</v>
      </c>
      <c r="K121" s="5" t="s">
        <v>33</v>
      </c>
      <c r="L121" s="5" t="s">
        <v>682</v>
      </c>
      <c r="M121" s="5" t="s">
        <v>682</v>
      </c>
      <c r="N121" s="5" t="s">
        <v>683</v>
      </c>
      <c r="O121" s="5"/>
      <c r="P121" s="5"/>
      <c r="Q121" s="5"/>
      <c r="R121" s="5"/>
      <c r="S121" s="5"/>
      <c r="T121" s="5"/>
      <c r="U121" s="5"/>
      <c r="V121" s="5"/>
      <c r="W121" s="5"/>
      <c r="X121" s="5">
        <v>37617</v>
      </c>
      <c r="Y121" s="6">
        <v>43166</v>
      </c>
      <c r="Z121" s="5" t="s">
        <v>36</v>
      </c>
      <c r="AA121" s="5" t="s">
        <v>684</v>
      </c>
    </row>
    <row r="122" spans="1:27" ht="41.95" x14ac:dyDescent="0.3">
      <c r="A122" s="3">
        <v>121</v>
      </c>
      <c r="B122" s="3" t="str">
        <f>"202000058014"</f>
        <v>202000058014</v>
      </c>
      <c r="C122" s="3" t="str">
        <f>"124898"</f>
        <v>124898</v>
      </c>
      <c r="D122" s="3" t="s">
        <v>685</v>
      </c>
      <c r="E122" s="3">
        <v>20399070971</v>
      </c>
      <c r="F122" s="3" t="s">
        <v>686</v>
      </c>
      <c r="G122" s="3" t="s">
        <v>64</v>
      </c>
      <c r="H122" s="3" t="s">
        <v>65</v>
      </c>
      <c r="I122" s="3" t="s">
        <v>66</v>
      </c>
      <c r="J122" s="3" t="s">
        <v>66</v>
      </c>
      <c r="K122" s="3" t="s">
        <v>33</v>
      </c>
      <c r="L122" s="3" t="s">
        <v>687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>
        <v>15000</v>
      </c>
      <c r="Y122" s="4">
        <v>43979</v>
      </c>
      <c r="Z122" s="3" t="s">
        <v>36</v>
      </c>
      <c r="AA122" s="3" t="s">
        <v>688</v>
      </c>
    </row>
    <row r="123" spans="1:27" ht="27.95" x14ac:dyDescent="0.3">
      <c r="A123" s="5">
        <v>122</v>
      </c>
      <c r="B123" s="5" t="str">
        <f>"201700151660"</f>
        <v>201700151660</v>
      </c>
      <c r="C123" s="5" t="str">
        <f>"131854"</f>
        <v>131854</v>
      </c>
      <c r="D123" s="5" t="s">
        <v>689</v>
      </c>
      <c r="E123" s="5">
        <v>20528229477</v>
      </c>
      <c r="F123" s="5" t="s">
        <v>330</v>
      </c>
      <c r="G123" s="5" t="s">
        <v>498</v>
      </c>
      <c r="H123" s="5" t="s">
        <v>30</v>
      </c>
      <c r="I123" s="5" t="s">
        <v>31</v>
      </c>
      <c r="J123" s="5" t="s">
        <v>32</v>
      </c>
      <c r="K123" s="5" t="s">
        <v>33</v>
      </c>
      <c r="L123" s="5" t="s">
        <v>188</v>
      </c>
      <c r="M123" s="5" t="s">
        <v>189</v>
      </c>
      <c r="N123" s="5" t="s">
        <v>189</v>
      </c>
      <c r="O123" s="5" t="s">
        <v>189</v>
      </c>
      <c r="P123" s="5" t="s">
        <v>690</v>
      </c>
      <c r="Q123" s="5"/>
      <c r="R123" s="5"/>
      <c r="S123" s="5"/>
      <c r="T123" s="5"/>
      <c r="U123" s="5"/>
      <c r="V123" s="5"/>
      <c r="W123" s="5"/>
      <c r="X123" s="5">
        <v>27600</v>
      </c>
      <c r="Y123" s="6">
        <v>43003</v>
      </c>
      <c r="Z123" s="5" t="s">
        <v>36</v>
      </c>
      <c r="AA123" s="5" t="s">
        <v>54</v>
      </c>
    </row>
    <row r="124" spans="1:27" ht="27.95" x14ac:dyDescent="0.3">
      <c r="A124" s="3">
        <v>123</v>
      </c>
      <c r="B124" s="3" t="str">
        <f>"202000079080"</f>
        <v>202000079080</v>
      </c>
      <c r="C124" s="3" t="str">
        <f>"145146"</f>
        <v>145146</v>
      </c>
      <c r="D124" s="3" t="s">
        <v>691</v>
      </c>
      <c r="E124" s="3">
        <v>20515162578</v>
      </c>
      <c r="F124" s="3" t="s">
        <v>692</v>
      </c>
      <c r="G124" s="3" t="s">
        <v>693</v>
      </c>
      <c r="H124" s="3" t="s">
        <v>65</v>
      </c>
      <c r="I124" s="3" t="s">
        <v>66</v>
      </c>
      <c r="J124" s="3" t="s">
        <v>66</v>
      </c>
      <c r="K124" s="3" t="s">
        <v>33</v>
      </c>
      <c r="L124" s="3" t="s">
        <v>694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>
        <v>15000</v>
      </c>
      <c r="Y124" s="4">
        <v>44029</v>
      </c>
      <c r="Z124" s="3" t="s">
        <v>36</v>
      </c>
      <c r="AA124" s="3" t="s">
        <v>695</v>
      </c>
    </row>
    <row r="125" spans="1:27" x14ac:dyDescent="0.3">
      <c r="A125" s="5">
        <v>124</v>
      </c>
      <c r="B125" s="5" t="str">
        <f>"201700075495"</f>
        <v>201700075495</v>
      </c>
      <c r="C125" s="5" t="str">
        <f>"96497"</f>
        <v>96497</v>
      </c>
      <c r="D125" s="5" t="s">
        <v>696</v>
      </c>
      <c r="E125" s="5">
        <v>20525481281</v>
      </c>
      <c r="F125" s="5" t="s">
        <v>285</v>
      </c>
      <c r="G125" s="5" t="s">
        <v>697</v>
      </c>
      <c r="H125" s="5" t="s">
        <v>65</v>
      </c>
      <c r="I125" s="5" t="s">
        <v>66</v>
      </c>
      <c r="J125" s="5" t="s">
        <v>66</v>
      </c>
      <c r="K125" s="5" t="s">
        <v>33</v>
      </c>
      <c r="L125" s="5" t="s">
        <v>698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>
        <v>12000</v>
      </c>
      <c r="Y125" s="6">
        <v>42880</v>
      </c>
      <c r="Z125" s="5" t="s">
        <v>36</v>
      </c>
      <c r="AA125" s="5" t="s">
        <v>699</v>
      </c>
    </row>
    <row r="126" spans="1:27" x14ac:dyDescent="0.3">
      <c r="A126" s="3">
        <v>125</v>
      </c>
      <c r="B126" s="3" t="str">
        <f>"202000074750"</f>
        <v>202000074750</v>
      </c>
      <c r="C126" s="3" t="str">
        <f>"141708"</f>
        <v>141708</v>
      </c>
      <c r="D126" s="3" t="s">
        <v>700</v>
      </c>
      <c r="E126" s="3">
        <v>20530060277</v>
      </c>
      <c r="F126" s="3" t="s">
        <v>701</v>
      </c>
      <c r="G126" s="3" t="s">
        <v>702</v>
      </c>
      <c r="H126" s="3" t="s">
        <v>65</v>
      </c>
      <c r="I126" s="3" t="s">
        <v>359</v>
      </c>
      <c r="J126" s="3" t="s">
        <v>359</v>
      </c>
      <c r="K126" s="3" t="s">
        <v>33</v>
      </c>
      <c r="L126" s="3" t="s">
        <v>507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>
        <v>5000</v>
      </c>
      <c r="Y126" s="4">
        <v>44017</v>
      </c>
      <c r="Z126" s="3" t="s">
        <v>36</v>
      </c>
      <c r="AA126" s="3" t="s">
        <v>703</v>
      </c>
    </row>
    <row r="127" spans="1:27" ht="27.95" x14ac:dyDescent="0.3">
      <c r="A127" s="5">
        <v>126</v>
      </c>
      <c r="B127" s="5" t="str">
        <f>"201400074885"</f>
        <v>201400074885</v>
      </c>
      <c r="C127" s="5" t="str">
        <f>"109963"</f>
        <v>109963</v>
      </c>
      <c r="D127" s="5" t="s">
        <v>704</v>
      </c>
      <c r="E127" s="5">
        <v>20528301097</v>
      </c>
      <c r="F127" s="5" t="s">
        <v>160</v>
      </c>
      <c r="G127" s="5" t="s">
        <v>705</v>
      </c>
      <c r="H127" s="5" t="s">
        <v>30</v>
      </c>
      <c r="I127" s="5" t="s">
        <v>31</v>
      </c>
      <c r="J127" s="5" t="s">
        <v>204</v>
      </c>
      <c r="K127" s="5" t="s">
        <v>33</v>
      </c>
      <c r="L127" s="5" t="s">
        <v>34</v>
      </c>
      <c r="M127" s="5" t="s">
        <v>58</v>
      </c>
      <c r="N127" s="5" t="s">
        <v>58</v>
      </c>
      <c r="O127" s="5" t="s">
        <v>58</v>
      </c>
      <c r="P127" s="5"/>
      <c r="Q127" s="5"/>
      <c r="R127" s="5"/>
      <c r="S127" s="5"/>
      <c r="T127" s="5"/>
      <c r="U127" s="5"/>
      <c r="V127" s="5"/>
      <c r="W127" s="5"/>
      <c r="X127" s="5">
        <v>20000</v>
      </c>
      <c r="Y127" s="6">
        <v>41811</v>
      </c>
      <c r="Z127" s="5" t="s">
        <v>36</v>
      </c>
      <c r="AA127" s="5" t="s">
        <v>164</v>
      </c>
    </row>
    <row r="128" spans="1:27" ht="27.95" x14ac:dyDescent="0.3">
      <c r="A128" s="3">
        <v>127</v>
      </c>
      <c r="B128" s="3" t="str">
        <f>"201800148985"</f>
        <v>201800148985</v>
      </c>
      <c r="C128" s="3" t="str">
        <f>"31666"</f>
        <v>31666</v>
      </c>
      <c r="D128" s="3" t="s">
        <v>706</v>
      </c>
      <c r="E128" s="3">
        <v>10001597189</v>
      </c>
      <c r="F128" s="3" t="s">
        <v>707</v>
      </c>
      <c r="G128" s="3" t="s">
        <v>708</v>
      </c>
      <c r="H128" s="3" t="s">
        <v>80</v>
      </c>
      <c r="I128" s="3" t="s">
        <v>392</v>
      </c>
      <c r="J128" s="3" t="s">
        <v>393</v>
      </c>
      <c r="K128" s="3" t="s">
        <v>33</v>
      </c>
      <c r="L128" s="3" t="s">
        <v>709</v>
      </c>
      <c r="M128" s="3" t="s">
        <v>709</v>
      </c>
      <c r="N128" s="3" t="s">
        <v>710</v>
      </c>
      <c r="O128" s="3" t="s">
        <v>710</v>
      </c>
      <c r="P128" s="3" t="s">
        <v>711</v>
      </c>
      <c r="Q128" s="3" t="s">
        <v>711</v>
      </c>
      <c r="R128" s="3"/>
      <c r="S128" s="3"/>
      <c r="T128" s="3"/>
      <c r="U128" s="3"/>
      <c r="V128" s="3"/>
      <c r="W128" s="3"/>
      <c r="X128" s="3">
        <v>10960</v>
      </c>
      <c r="Y128" s="4">
        <v>43354</v>
      </c>
      <c r="Z128" s="3" t="s">
        <v>36</v>
      </c>
      <c r="AA128" s="3" t="s">
        <v>707</v>
      </c>
    </row>
    <row r="129" spans="1:27" x14ac:dyDescent="0.3">
      <c r="A129" s="5">
        <v>128</v>
      </c>
      <c r="B129" s="5" t="str">
        <f>"202000074139"</f>
        <v>202000074139</v>
      </c>
      <c r="C129" s="5" t="str">
        <f>"83628"</f>
        <v>83628</v>
      </c>
      <c r="D129" s="5" t="s">
        <v>712</v>
      </c>
      <c r="E129" s="5">
        <v>20600816552</v>
      </c>
      <c r="F129" s="5" t="s">
        <v>713</v>
      </c>
      <c r="G129" s="5" t="s">
        <v>64</v>
      </c>
      <c r="H129" s="5" t="s">
        <v>65</v>
      </c>
      <c r="I129" s="5" t="s">
        <v>66</v>
      </c>
      <c r="J129" s="5" t="s">
        <v>66</v>
      </c>
      <c r="K129" s="5" t="s">
        <v>33</v>
      </c>
      <c r="L129" s="5" t="s">
        <v>714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>
        <v>7000</v>
      </c>
      <c r="Y129" s="6">
        <v>44012</v>
      </c>
      <c r="Z129" s="5" t="s">
        <v>36</v>
      </c>
      <c r="AA129" s="5" t="s">
        <v>715</v>
      </c>
    </row>
    <row r="130" spans="1:27" x14ac:dyDescent="0.3">
      <c r="A130" s="3">
        <v>129</v>
      </c>
      <c r="B130" s="3" t="str">
        <f>"201600093592"</f>
        <v>201600093592</v>
      </c>
      <c r="C130" s="3" t="str">
        <f>"121976"</f>
        <v>121976</v>
      </c>
      <c r="D130" s="3" t="s">
        <v>716</v>
      </c>
      <c r="E130" s="3">
        <v>10038536147</v>
      </c>
      <c r="F130" s="3" t="s">
        <v>523</v>
      </c>
      <c r="G130" s="3" t="s">
        <v>717</v>
      </c>
      <c r="H130" s="3" t="s">
        <v>65</v>
      </c>
      <c r="I130" s="3" t="s">
        <v>359</v>
      </c>
      <c r="J130" s="3" t="s">
        <v>359</v>
      </c>
      <c r="K130" s="3" t="s">
        <v>33</v>
      </c>
      <c r="L130" s="3" t="s">
        <v>113</v>
      </c>
      <c r="M130" s="3" t="s">
        <v>113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>
        <v>6000</v>
      </c>
      <c r="Y130" s="4">
        <v>42548</v>
      </c>
      <c r="Z130" s="3" t="s">
        <v>36</v>
      </c>
      <c r="AA130" s="3" t="s">
        <v>523</v>
      </c>
    </row>
    <row r="131" spans="1:27" x14ac:dyDescent="0.3">
      <c r="A131" s="5">
        <v>130</v>
      </c>
      <c r="B131" s="5" t="str">
        <f>"201200059186"</f>
        <v>201200059186</v>
      </c>
      <c r="C131" s="5" t="str">
        <f>"96656"</f>
        <v>96656</v>
      </c>
      <c r="D131" s="5" t="s">
        <v>718</v>
      </c>
      <c r="E131" s="5">
        <v>10052300059</v>
      </c>
      <c r="F131" s="5" t="s">
        <v>719</v>
      </c>
      <c r="G131" s="5" t="s">
        <v>720</v>
      </c>
      <c r="H131" s="5" t="s">
        <v>30</v>
      </c>
      <c r="I131" s="5" t="s">
        <v>31</v>
      </c>
      <c r="J131" s="5" t="s">
        <v>32</v>
      </c>
      <c r="K131" s="5" t="s">
        <v>33</v>
      </c>
      <c r="L131" s="5" t="s">
        <v>721</v>
      </c>
      <c r="M131" s="5" t="s">
        <v>721</v>
      </c>
      <c r="N131" s="5" t="s">
        <v>34</v>
      </c>
      <c r="O131" s="5"/>
      <c r="P131" s="5"/>
      <c r="Q131" s="5"/>
      <c r="R131" s="5"/>
      <c r="S131" s="5"/>
      <c r="T131" s="5"/>
      <c r="U131" s="5"/>
      <c r="V131" s="5"/>
      <c r="W131" s="5"/>
      <c r="X131" s="5">
        <v>35000</v>
      </c>
      <c r="Y131" s="6">
        <v>41043</v>
      </c>
      <c r="Z131" s="5" t="s">
        <v>36</v>
      </c>
      <c r="AA131" s="5" t="s">
        <v>719</v>
      </c>
    </row>
    <row r="132" spans="1:27" x14ac:dyDescent="0.3">
      <c r="A132" s="3">
        <v>131</v>
      </c>
      <c r="B132" s="3" t="str">
        <f>"201700129471"</f>
        <v>201700129471</v>
      </c>
      <c r="C132" s="3" t="str">
        <f>"119011"</f>
        <v>119011</v>
      </c>
      <c r="D132" s="3" t="s">
        <v>722</v>
      </c>
      <c r="E132" s="3">
        <v>20393410184</v>
      </c>
      <c r="F132" s="3" t="s">
        <v>723</v>
      </c>
      <c r="G132" s="3" t="s">
        <v>724</v>
      </c>
      <c r="H132" s="3" t="s">
        <v>80</v>
      </c>
      <c r="I132" s="3" t="s">
        <v>81</v>
      </c>
      <c r="J132" s="3" t="s">
        <v>82</v>
      </c>
      <c r="K132" s="3" t="s">
        <v>33</v>
      </c>
      <c r="L132" s="3" t="s">
        <v>725</v>
      </c>
      <c r="M132" s="3" t="s">
        <v>726</v>
      </c>
      <c r="N132" s="3" t="s">
        <v>727</v>
      </c>
      <c r="O132" s="3" t="s">
        <v>728</v>
      </c>
      <c r="P132" s="3"/>
      <c r="Q132" s="3"/>
      <c r="R132" s="3"/>
      <c r="S132" s="3"/>
      <c r="T132" s="3"/>
      <c r="U132" s="3"/>
      <c r="V132" s="3"/>
      <c r="W132" s="3"/>
      <c r="X132" s="3">
        <v>21652</v>
      </c>
      <c r="Y132" s="4">
        <v>42974</v>
      </c>
      <c r="Z132" s="3" t="s">
        <v>36</v>
      </c>
      <c r="AA132" s="3" t="s">
        <v>729</v>
      </c>
    </row>
    <row r="133" spans="1:27" ht="27.95" x14ac:dyDescent="0.3">
      <c r="A133" s="5">
        <v>132</v>
      </c>
      <c r="B133" s="5" t="str">
        <f>"201300195203"</f>
        <v>201300195203</v>
      </c>
      <c r="C133" s="5" t="str">
        <f>"95762"</f>
        <v>95762</v>
      </c>
      <c r="D133" s="5" t="s">
        <v>730</v>
      </c>
      <c r="E133" s="5">
        <v>20567130348</v>
      </c>
      <c r="F133" s="5" t="s">
        <v>731</v>
      </c>
      <c r="G133" s="5" t="s">
        <v>732</v>
      </c>
      <c r="H133" s="5" t="s">
        <v>30</v>
      </c>
      <c r="I133" s="5" t="s">
        <v>30</v>
      </c>
      <c r="J133" s="5" t="s">
        <v>90</v>
      </c>
      <c r="K133" s="5" t="s">
        <v>33</v>
      </c>
      <c r="L133" s="5" t="s">
        <v>733</v>
      </c>
      <c r="M133" s="5" t="s">
        <v>734</v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>
        <v>8500</v>
      </c>
      <c r="Y133" s="6">
        <v>41642</v>
      </c>
      <c r="Z133" s="5" t="s">
        <v>36</v>
      </c>
      <c r="AA133" s="5" t="s">
        <v>735</v>
      </c>
    </row>
    <row r="134" spans="1:27" ht="27.95" x14ac:dyDescent="0.3">
      <c r="A134" s="3">
        <v>133</v>
      </c>
      <c r="B134" s="3" t="str">
        <f>"201700113679"</f>
        <v>201700113679</v>
      </c>
      <c r="C134" s="3" t="str">
        <f>"130611"</f>
        <v>130611</v>
      </c>
      <c r="D134" s="3" t="s">
        <v>736</v>
      </c>
      <c r="E134" s="3">
        <v>20393534070</v>
      </c>
      <c r="F134" s="3" t="s">
        <v>737</v>
      </c>
      <c r="G134" s="3" t="s">
        <v>738</v>
      </c>
      <c r="H134" s="3" t="s">
        <v>30</v>
      </c>
      <c r="I134" s="3" t="s">
        <v>80</v>
      </c>
      <c r="J134" s="3" t="s">
        <v>739</v>
      </c>
      <c r="K134" s="3" t="s">
        <v>33</v>
      </c>
      <c r="L134" s="3" t="s">
        <v>34</v>
      </c>
      <c r="M134" s="3" t="s">
        <v>34</v>
      </c>
      <c r="N134" s="3" t="s">
        <v>58</v>
      </c>
      <c r="O134" s="3" t="s">
        <v>207</v>
      </c>
      <c r="P134" s="3"/>
      <c r="Q134" s="3"/>
      <c r="R134" s="3"/>
      <c r="S134" s="3"/>
      <c r="T134" s="3"/>
      <c r="U134" s="3"/>
      <c r="V134" s="3"/>
      <c r="W134" s="3"/>
      <c r="X134" s="3">
        <v>20000</v>
      </c>
      <c r="Y134" s="4">
        <v>42941</v>
      </c>
      <c r="Z134" s="3" t="s">
        <v>36</v>
      </c>
      <c r="AA134" s="3" t="s">
        <v>740</v>
      </c>
    </row>
    <row r="135" spans="1:27" x14ac:dyDescent="0.3">
      <c r="A135" s="5">
        <v>134</v>
      </c>
      <c r="B135" s="5" t="str">
        <f>"201700212425"</f>
        <v>201700212425</v>
      </c>
      <c r="C135" s="5" t="str">
        <f>"62642"</f>
        <v>62642</v>
      </c>
      <c r="D135" s="5" t="s">
        <v>741</v>
      </c>
      <c r="E135" s="5">
        <v>20525798217</v>
      </c>
      <c r="F135" s="5" t="s">
        <v>742</v>
      </c>
      <c r="G135" s="5" t="s">
        <v>260</v>
      </c>
      <c r="H135" s="5" t="s">
        <v>65</v>
      </c>
      <c r="I135" s="5" t="s">
        <v>66</v>
      </c>
      <c r="J135" s="5" t="s">
        <v>66</v>
      </c>
      <c r="K135" s="5" t="s">
        <v>33</v>
      </c>
      <c r="L135" s="5" t="s">
        <v>743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>
        <v>6500</v>
      </c>
      <c r="Y135" s="6">
        <v>43087</v>
      </c>
      <c r="Z135" s="5" t="s">
        <v>36</v>
      </c>
      <c r="AA135" s="5" t="s">
        <v>225</v>
      </c>
    </row>
    <row r="136" spans="1:27" ht="27.95" x14ac:dyDescent="0.3">
      <c r="A136" s="3">
        <v>135</v>
      </c>
      <c r="B136" s="3" t="str">
        <f>"201900086765"</f>
        <v>201900086765</v>
      </c>
      <c r="C136" s="3" t="str">
        <f>"134719"</f>
        <v>134719</v>
      </c>
      <c r="D136" s="3" t="s">
        <v>744</v>
      </c>
      <c r="E136" s="3">
        <v>20603550600</v>
      </c>
      <c r="F136" s="3" t="s">
        <v>745</v>
      </c>
      <c r="G136" s="3" t="s">
        <v>746</v>
      </c>
      <c r="H136" s="3" t="s">
        <v>30</v>
      </c>
      <c r="I136" s="3" t="s">
        <v>41</v>
      </c>
      <c r="J136" s="3" t="s">
        <v>42</v>
      </c>
      <c r="K136" s="3" t="s">
        <v>33</v>
      </c>
      <c r="L136" s="3" t="s">
        <v>747</v>
      </c>
      <c r="M136" s="3" t="s">
        <v>748</v>
      </c>
      <c r="N136" s="3" t="s">
        <v>749</v>
      </c>
      <c r="O136" s="3" t="s">
        <v>749</v>
      </c>
      <c r="P136" s="3"/>
      <c r="Q136" s="3"/>
      <c r="R136" s="3"/>
      <c r="S136" s="3"/>
      <c r="T136" s="3"/>
      <c r="U136" s="3"/>
      <c r="V136" s="3"/>
      <c r="W136" s="3"/>
      <c r="X136" s="3">
        <v>20380</v>
      </c>
      <c r="Y136" s="4">
        <v>43621</v>
      </c>
      <c r="Z136" s="3" t="s">
        <v>36</v>
      </c>
      <c r="AA136" s="3" t="s">
        <v>750</v>
      </c>
    </row>
    <row r="137" spans="1:27" ht="27.95" x14ac:dyDescent="0.3">
      <c r="A137" s="5">
        <v>136</v>
      </c>
      <c r="B137" s="5" t="str">
        <f>"202000113752"</f>
        <v>202000113752</v>
      </c>
      <c r="C137" s="5" t="str">
        <f>"150899"</f>
        <v>150899</v>
      </c>
      <c r="D137" s="5" t="s">
        <v>751</v>
      </c>
      <c r="E137" s="5">
        <v>20603451679</v>
      </c>
      <c r="F137" s="5" t="s">
        <v>752</v>
      </c>
      <c r="G137" s="5" t="s">
        <v>753</v>
      </c>
      <c r="H137" s="5" t="s">
        <v>72</v>
      </c>
      <c r="I137" s="5" t="s">
        <v>73</v>
      </c>
      <c r="J137" s="5" t="s">
        <v>108</v>
      </c>
      <c r="K137" s="5" t="s">
        <v>33</v>
      </c>
      <c r="L137" s="5" t="s">
        <v>207</v>
      </c>
      <c r="M137" s="5" t="s">
        <v>58</v>
      </c>
      <c r="N137" s="5" t="s">
        <v>35</v>
      </c>
      <c r="O137" s="5"/>
      <c r="P137" s="5"/>
      <c r="Q137" s="5"/>
      <c r="R137" s="5"/>
      <c r="S137" s="5"/>
      <c r="T137" s="5"/>
      <c r="U137" s="5"/>
      <c r="V137" s="5"/>
      <c r="W137" s="5"/>
      <c r="X137" s="5">
        <v>20000</v>
      </c>
      <c r="Y137" s="6">
        <v>44084</v>
      </c>
      <c r="Z137" s="5" t="s">
        <v>36</v>
      </c>
      <c r="AA137" s="5" t="s">
        <v>754</v>
      </c>
    </row>
    <row r="138" spans="1:27" x14ac:dyDescent="0.3">
      <c r="A138" s="3">
        <v>137</v>
      </c>
      <c r="B138" s="3" t="str">
        <f>"201900217048"</f>
        <v>201900217048</v>
      </c>
      <c r="C138" s="3" t="str">
        <f>"115219"</f>
        <v>115219</v>
      </c>
      <c r="D138" s="3" t="s">
        <v>755</v>
      </c>
      <c r="E138" s="3">
        <v>10001597189</v>
      </c>
      <c r="F138" s="3" t="s">
        <v>756</v>
      </c>
      <c r="G138" s="3" t="s">
        <v>462</v>
      </c>
      <c r="H138" s="3" t="s">
        <v>80</v>
      </c>
      <c r="I138" s="3" t="s">
        <v>392</v>
      </c>
      <c r="J138" s="3" t="s">
        <v>393</v>
      </c>
      <c r="K138" s="3" t="s">
        <v>33</v>
      </c>
      <c r="L138" s="3" t="s">
        <v>757</v>
      </c>
      <c r="M138" s="3" t="s">
        <v>757</v>
      </c>
      <c r="N138" s="3" t="s">
        <v>758</v>
      </c>
      <c r="O138" s="3"/>
      <c r="P138" s="3"/>
      <c r="Q138" s="3"/>
      <c r="R138" s="3"/>
      <c r="S138" s="3"/>
      <c r="T138" s="3"/>
      <c r="U138" s="3"/>
      <c r="V138" s="3"/>
      <c r="W138" s="3"/>
      <c r="X138" s="3">
        <v>15482</v>
      </c>
      <c r="Y138" s="4">
        <v>43840</v>
      </c>
      <c r="Z138" s="3" t="s">
        <v>36</v>
      </c>
      <c r="AA138" s="3" t="s">
        <v>756</v>
      </c>
    </row>
  </sheetData>
  <pageMargins left="0.75" right="0.75" top="1" bottom="1" header="0.5" footer="0.5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GrifosFlotantes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creator>Jose Manuel Castañeda Rossel</dc:creator>
  <cp:lastModifiedBy>Jose Manuel Castañeda Rossel</cp:lastModifiedBy>
  <dcterms:created xsi:type="dcterms:W3CDTF">2020-10-29T22:18:21Z</dcterms:created>
  <dcterms:modified xsi:type="dcterms:W3CDTF">2020-10-29T22:18:22Z</dcterms:modified>
</cp:coreProperties>
</file>