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file02\sistemas\Ronald\2020\04 PCM\Datos Abiertos\DSR - 27-10-2020\Registro Hidrocarburos\03. Establecimientos VP de CL y GLP\"/>
    </mc:Choice>
  </mc:AlternateContent>
  <bookViews>
    <workbookView xWindow="0" yWindow="0" windowWidth="20633" windowHeight="7039"/>
  </bookViews>
  <sheets>
    <sheet name="GrifosRuralesconalmacenamientoe" sheetId="1" r:id="rId1"/>
  </sheets>
  <calcPr calcId="162913"/>
</workbook>
</file>

<file path=xl/calcChain.xml><?xml version="1.0" encoding="utf-8"?>
<calcChain xmlns="http://schemas.openxmlformats.org/spreadsheetml/2006/main">
  <c r="B625" i="1" l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<sst xmlns="http://schemas.openxmlformats.org/spreadsheetml/2006/main" count="6888" uniqueCount="2617">
  <si>
    <t>REGISTROS HÁBILES DE GRIFOS RURALES CON ALMACENAMIENTO EN CILINDROS (Actualizado al 29 DE OCTUBRE DE 2020)</t>
  </si>
  <si>
    <t>No</t>
  </si>
  <si>
    <t>EXPEDIENTE</t>
  </si>
  <si>
    <t>CODIGO OSINERGMIN</t>
  </si>
  <si>
    <t>REGISTRO</t>
  </si>
  <si>
    <t>RUC</t>
  </si>
  <si>
    <t>RAZON SOCIAL</t>
  </si>
  <si>
    <t>DIRECCION OPERATIVA</t>
  </si>
  <si>
    <t>DEPARTAMENTO</t>
  </si>
  <si>
    <t>PROVINCIA</t>
  </si>
  <si>
    <t>DISTRITO</t>
  </si>
  <si>
    <t>TIPO DE ESTABLECIMIENTO</t>
  </si>
  <si>
    <t>ALMACENAMIENTO 1</t>
  </si>
  <si>
    <t>ALMACENAMIENTO 2</t>
  </si>
  <si>
    <t>ALMACENAMIENTO 3</t>
  </si>
  <si>
    <t>ALMACENAMIENTO 4</t>
  </si>
  <si>
    <t>ALMACENAMIENTO 5</t>
  </si>
  <si>
    <t>ALMACENAMIENTO 6</t>
  </si>
  <si>
    <t>ALMACENAMIENTO 7</t>
  </si>
  <si>
    <t>ALMACENAMIENTO 8</t>
  </si>
  <si>
    <t>ALMACENAMIENTO 9</t>
  </si>
  <si>
    <t>CAP.TOTAL CL (gln)</t>
  </si>
  <si>
    <t>FEC. EMISION</t>
  </si>
  <si>
    <t>TÉRMINO DE VIGENCIA</t>
  </si>
  <si>
    <t>REPRESENTANTE</t>
  </si>
  <si>
    <t>146519-057-170919</t>
  </si>
  <si>
    <t xml:space="preserve">RODNEY OMAR HUAMAN ESPINOZA </t>
  </si>
  <si>
    <t xml:space="preserve">SECTOR PACAYBAMBA ZONA I </t>
  </si>
  <si>
    <t>CUSCO</t>
  </si>
  <si>
    <t>LA CONVENCION</t>
  </si>
  <si>
    <t>INKAWASI</t>
  </si>
  <si>
    <t>GRIFOS RURALES CON ALMACENAMIENTO EN CILINDROS</t>
  </si>
  <si>
    <t> 55:GASOHOL 84 PLUS,110:GASOHOL 90 PLUS,550:Diesel B5 S-50</t>
  </si>
  <si>
    <t>INDEFINIDO</t>
  </si>
  <si>
    <t>18844-057-041113</t>
  </si>
  <si>
    <t>JUANA VEGA CAMACHO</t>
  </si>
  <si>
    <t>ANEXO RICARDO PALMA REPARTICION COVIRIALI</t>
  </si>
  <si>
    <t>JUNIN</t>
  </si>
  <si>
    <t>SATIPO</t>
  </si>
  <si>
    <t> 55:GASOHOL 84 PLUS</t>
  </si>
  <si>
    <t> 55:GASOHOL 90 PLUS</t>
  </si>
  <si>
    <t> 220:DIESEL B5</t>
  </si>
  <si>
    <t>0048-ARCI-21-2001</t>
  </si>
  <si>
    <t>CARMEN YANET JOVE VILCA</t>
  </si>
  <si>
    <t>AV. CHOQUEHUANCA N° 306 ESTACION PUCARA</t>
  </si>
  <si>
    <t>PUNO</t>
  </si>
  <si>
    <t>AZANGARO</t>
  </si>
  <si>
    <t>JOSE DOMINGO CHOQUEHUANCA</t>
  </si>
  <si>
    <t> 110:SIN PRODUCTO</t>
  </si>
  <si>
    <t> 275:DIESEL 2</t>
  </si>
  <si>
    <t> 55:GASOLINA 84</t>
  </si>
  <si>
    <t>JOVE VILCA, CARMEN YANET</t>
  </si>
  <si>
    <t>151763-057-121020</t>
  </si>
  <si>
    <t>HUAMANI SONCCO EULOGIO CASIANO</t>
  </si>
  <si>
    <t>INTERSECCION VIA SANTO TOMAS - ESPINAR Y PROLONGACION AV. NUEVA CHUMBIVILCAS DEL ANEXO CALZADA DE LA COMUNIDAD DE PULLPURE PUENTE COYO USCAMARCA</t>
  </si>
  <si>
    <t>CHUMBIVILCAS</t>
  </si>
  <si>
    <t>SANTO TOMAS</t>
  </si>
  <si>
    <t> 165:GASOHOL 90 PLUS,550:Diesel B5 S-50</t>
  </si>
  <si>
    <t>124046-057-100117</t>
  </si>
  <si>
    <t>FREDY RUA TOVAR</t>
  </si>
  <si>
    <t>CARRETERA ACOBAMBA –CAJA S/N CENTRO POBLADO POMACANCHA</t>
  </si>
  <si>
    <t>HUANCAVELICA</t>
  </si>
  <si>
    <t>ACOBAMBA</t>
  </si>
  <si>
    <t>CAJA</t>
  </si>
  <si>
    <t> 220:DIESEL B5 S-50</t>
  </si>
  <si>
    <t> 110:GASOHOL 90 PLUS</t>
  </si>
  <si>
    <t>21383-057-100416</t>
  </si>
  <si>
    <t>HILDA ARIAS ANTARA</t>
  </si>
  <si>
    <t>JR. OTERO N° 582</t>
  </si>
  <si>
    <t>CARHUAMAYO</t>
  </si>
  <si>
    <t>121139-057-250516</t>
  </si>
  <si>
    <t>GRIFO RURAL MABELI E.I.R.L.</t>
  </si>
  <si>
    <t>CASERIO OBASPAMPA CARRETERA A OBAS-PAMPAMARCA</t>
  </si>
  <si>
    <t>HUANUCO</t>
  </si>
  <si>
    <t>YAROWILCA</t>
  </si>
  <si>
    <t>OBAS</t>
  </si>
  <si>
    <t>MARCELO CRUZ SANCHEZ</t>
  </si>
  <si>
    <t>17921-057-161213</t>
  </si>
  <si>
    <t>POLICARPIO CANAZA MAMANI</t>
  </si>
  <si>
    <t>PROLONGACION AV. LOS PROCERES S/N. CARRETERA AZANGARO - JULIACA KM. 62</t>
  </si>
  <si>
    <t> 110:GASOHOL 84 PLUS,220:Diesel B5 S-50</t>
  </si>
  <si>
    <t>82781-057-130313</t>
  </si>
  <si>
    <t>SERVICIOS GENERALES VIRGEN MARIA INMACULADA E.I.R.L.</t>
  </si>
  <si>
    <t>AV. PADRE LUCERO S/N LOTE 11. MZ. 13. BARRIO SANTA GEMA</t>
  </si>
  <si>
    <t>LORETO</t>
  </si>
  <si>
    <t>ALTO AMAZONAS</t>
  </si>
  <si>
    <t>LAGUNAS</t>
  </si>
  <si>
    <t> 110:GASOLINA 84</t>
  </si>
  <si>
    <t>GEORGE JOSSEPH AREVALO HIDALGO</t>
  </si>
  <si>
    <t>137917-057-130818</t>
  </si>
  <si>
    <t>OSCAR MANUEL MINGA TORRES</t>
  </si>
  <si>
    <t>PROLONGACIÓN MARISCAL CASTILLA S/N LOCALIDAD ORELLANA</t>
  </si>
  <si>
    <t>UCAYALI</t>
  </si>
  <si>
    <t>VARGAS GUERRA</t>
  </si>
  <si>
    <t> 165:GASOLINA 90</t>
  </si>
  <si>
    <t> 550:DIESEL B5</t>
  </si>
  <si>
    <t xml:space="preserve">OSCAR MANUEL MINGA TORRES </t>
  </si>
  <si>
    <t>0000077-PUN</t>
  </si>
  <si>
    <t>TEOFILA ESTELA VERA DE PAREDES</t>
  </si>
  <si>
    <t>CALLE DOS DE MAYO S/N. BARRIO PORVENIR</t>
  </si>
  <si>
    <t>CHUPA</t>
  </si>
  <si>
    <t>VERA DE PAREDES, TEOFILA ESTELA</t>
  </si>
  <si>
    <t>0055-ARCI-21-2001</t>
  </si>
  <si>
    <t>FELIX LAURA MARON</t>
  </si>
  <si>
    <t>KM. 10 CARRETERA ILAVE - MAZOCRUZ CPM CHECCA, LACAYA - YAURIMA</t>
  </si>
  <si>
    <t>EL COLLAO</t>
  </si>
  <si>
    <t>ILAVE</t>
  </si>
  <si>
    <t> 220:DIESEL 2</t>
  </si>
  <si>
    <t> 165:SIN PRODUCTO</t>
  </si>
  <si>
    <t>LAURA MARON, FELIX</t>
  </si>
  <si>
    <t>147528-057-311019</t>
  </si>
  <si>
    <t>FLORES ESTRELLA ANALI LUDITH</t>
  </si>
  <si>
    <t>SECTOR SAN JUAN CARRETERA FEDERICO BASADRE KM. 71-72</t>
  </si>
  <si>
    <t>PADRE ABAD</t>
  </si>
  <si>
    <t>NESHUYA</t>
  </si>
  <si>
    <t> 165:GASOLINA 90,550:DIESEL B5</t>
  </si>
  <si>
    <t>112520-057-030315</t>
  </si>
  <si>
    <t>JUANA ANIL PATATINGO VEGA</t>
  </si>
  <si>
    <t>CARRETERA CORANI CUSCO KM 1+500 SECTOR CHINCHIRCUMANI</t>
  </si>
  <si>
    <t>CARABAYA</t>
  </si>
  <si>
    <t>CORANI</t>
  </si>
  <si>
    <t> 110:GASOHOLES</t>
  </si>
  <si>
    <t>138859-057-091018</t>
  </si>
  <si>
    <t>HERBER ALVAREZ HUAMAN</t>
  </si>
  <si>
    <t>SECTOR DE MEDIA LUNA CARRETERA CUSCO - ABANCAY KM. 89</t>
  </si>
  <si>
    <t>ANTA</t>
  </si>
  <si>
    <t>LIMATAMBO</t>
  </si>
  <si>
    <t>135897-057-081020</t>
  </si>
  <si>
    <t xml:space="preserve">RAMON SOLSOL MENDOZA </t>
  </si>
  <si>
    <t>CARRETERA PALMA REAL - KITENI, CENTRO POBLADO PALMA REAL</t>
  </si>
  <si>
    <t>ECHARATE</t>
  </si>
  <si>
    <t>145048-057-050719</t>
  </si>
  <si>
    <t xml:space="preserve">MIGUEL MOLINA SUNI </t>
  </si>
  <si>
    <t>CARRETERA LIVITACA CHAMACA – COMUNIDAD CAMPESINA QQUEHUINCHA</t>
  </si>
  <si>
    <t>LIVITACA</t>
  </si>
  <si>
    <t>0018-ARCI-21-2001</t>
  </si>
  <si>
    <t>SOLIN CONDORI HUANCA</t>
  </si>
  <si>
    <t>AV. INAMBARI S/N -OLLACHEA</t>
  </si>
  <si>
    <t>OLLACHEA</t>
  </si>
  <si>
    <t> 825:DIESEL 2</t>
  </si>
  <si>
    <t>CONDORI HUANCA, SOLIN</t>
  </si>
  <si>
    <t>0015-ARCI-21-2003</t>
  </si>
  <si>
    <t>CALIXTO ALANOCA HUANACUNI</t>
  </si>
  <si>
    <t>CARRETERA CHASQUI - CACHIPUCARA KM. 15.20 CENTRO POBLADO DE ACCASO</t>
  </si>
  <si>
    <t>PILCUYO</t>
  </si>
  <si>
    <t> 165:DIESEL 2</t>
  </si>
  <si>
    <t>ALANOCA HUANACUNI, CALIXTO</t>
  </si>
  <si>
    <t>137126-057-270618</t>
  </si>
  <si>
    <t xml:space="preserve">QUINTIN NEMECIO SURI MAMANI </t>
  </si>
  <si>
    <t>FUNDO VERDE OCCO, CARRETERA ANTIGUA AREQUIPA TINTAYA KM 124+500</t>
  </si>
  <si>
    <t>AREQUIPA</t>
  </si>
  <si>
    <t>CAYLLOMA</t>
  </si>
  <si>
    <t>CALLALLI</t>
  </si>
  <si>
    <t> 55:GASOHOL 84 PLUS,55:GASOHOL 90 PLUS,440:Diesel B5 S-50</t>
  </si>
  <si>
    <t>0005-GRRU-16-2006</t>
  </si>
  <si>
    <t>JORGE MIGUEL CORAL TUESTA</t>
  </si>
  <si>
    <t>CARRETERA YURIMAGUAS - TARAPOTO KM. 30 CASERIO SANTO TOMAS</t>
  </si>
  <si>
    <t>YURIMAGUAS</t>
  </si>
  <si>
    <t> 990:DIESEL 2</t>
  </si>
  <si>
    <t>CORAL TUESTA, JORGE MIGUEL</t>
  </si>
  <si>
    <t>0029-ARCI-21-2003</t>
  </si>
  <si>
    <t xml:space="preserve">FREDY ZAPANA PACHA </t>
  </si>
  <si>
    <t>AV. PRINCIPAL S/N. CENTRO POBLADO MENOR DE PROGRESO</t>
  </si>
  <si>
    <t>ASILLO</t>
  </si>
  <si>
    <t> 220:SIN PRODUCTO</t>
  </si>
  <si>
    <t>ZAPANA PACHA, FREDY</t>
  </si>
  <si>
    <t>0019-ARCI-21-2002</t>
  </si>
  <si>
    <t>JUANA PARI DE ALFONTE</t>
  </si>
  <si>
    <t>CARRETERA PUNO - ILAVE KM. 49.6 COMUNIDAD DE JACHA HUINCOCHA</t>
  </si>
  <si>
    <t>ACORA</t>
  </si>
  <si>
    <t>PARI DE ALFONTE, JUANA</t>
  </si>
  <si>
    <t>16809-057-010313</t>
  </si>
  <si>
    <t>CATALINA QUITO DE PEREZ</t>
  </si>
  <si>
    <t xml:space="preserve">AV. ERICSON S/N. CIRCUNVALACION </t>
  </si>
  <si>
    <t>PAUCARTAMBO</t>
  </si>
  <si>
    <t> 330:Diesel B5 S-50</t>
  </si>
  <si>
    <t>104923-057-290813</t>
  </si>
  <si>
    <t>IRMA BARRANTES SACACHIPANA</t>
  </si>
  <si>
    <t>PARCIALIDAD DE SACASCO CARRETERA JULIACA - HUANCANÉ KM- 36</t>
  </si>
  <si>
    <t>HUANCANE</t>
  </si>
  <si>
    <t>TARACO</t>
  </si>
  <si>
    <t> 220:Diesel B5 S-50</t>
  </si>
  <si>
    <t> 110:GASOHOL 84 PLUS</t>
  </si>
  <si>
    <t>137303-057-090718</t>
  </si>
  <si>
    <t xml:space="preserve">CAMILO IDELFONSO HALANOKCA ASCUE </t>
  </si>
  <si>
    <t>SECTOR QUESQUEPATA, COMUNIDAD VIRGEN ASUNCION DE CALLIPATA</t>
  </si>
  <si>
    <t>145429-057-270719</t>
  </si>
  <si>
    <t>CHUQUIVAL CHILICASEPA GILBER</t>
  </si>
  <si>
    <t>CALLE HUALLAGA S/N, BARRIO SAN JUAN</t>
  </si>
  <si>
    <t>SANTA CRUZ</t>
  </si>
  <si>
    <t> 55:GASOLINA 90,110:GASOLINA 84,110:DIESEL B5</t>
  </si>
  <si>
    <t>0000006-CAJ</t>
  </si>
  <si>
    <t>ALEX YHON PINTADO CARDENAS</t>
  </si>
  <si>
    <t>PUERTO CHUNCHUPE S/N.</t>
  </si>
  <si>
    <t>CAJAMARCA</t>
  </si>
  <si>
    <t>SAN IGNACIO</t>
  </si>
  <si>
    <t>SAN JOSE DE LOURDES</t>
  </si>
  <si>
    <t> 55:SIN PRODUCTO</t>
  </si>
  <si>
    <t> 165:GASOLINAS PARA USO AUTOMOTOR</t>
  </si>
  <si>
    <t>PINTADO CARDENAS, ALEX YHON</t>
  </si>
  <si>
    <t>105771-057-231213</t>
  </si>
  <si>
    <t>DAVID RAMOS LAURA</t>
  </si>
  <si>
    <t>LOTE 1-B SUB 1 AVENIDA DESAMPARADOS, CARRETERA INTEROCEANICA URCOS-QUINCEMIL</t>
  </si>
  <si>
    <t>QUISPICANCHI</t>
  </si>
  <si>
    <t>CCATCA</t>
  </si>
  <si>
    <t>148288-057-181219</t>
  </si>
  <si>
    <t>JUAN JOSE ALARCON SAUCEDO</t>
  </si>
  <si>
    <t>CARRETERA FERNANDO BELAUNDE TERRY KM 148 CASERIO SAN JUAN DE CHIPLE</t>
  </si>
  <si>
    <t>CUTERVO</t>
  </si>
  <si>
    <t>CALLAYUC</t>
  </si>
  <si>
    <t> 55:GASOHOL 84 PLUS,110:GASOHOL 90 PLUS,385:Diesel B5 S-50</t>
  </si>
  <si>
    <t>0022-ARCI-21-2001</t>
  </si>
  <si>
    <t>OWEN CASTILLO MACHACA</t>
  </si>
  <si>
    <t>KM. 357.110 CARRETERA BINACIONAL ILO-DESAGUADERO COMUNIDAD LACACHAQUI</t>
  </si>
  <si>
    <t>CHUCUITO</t>
  </si>
  <si>
    <t>HUACULLANI</t>
  </si>
  <si>
    <t>CASTILLO MACHACA, OWEN</t>
  </si>
  <si>
    <t>141952-057-150319</t>
  </si>
  <si>
    <t xml:space="preserve">SADITH YEPEZ MAYHUA </t>
  </si>
  <si>
    <t>LOTE N° 17, DE LA MANZANA X2, CENTRO POBLADO SANGARARÁ</t>
  </si>
  <si>
    <t>ACOMAYO</t>
  </si>
  <si>
    <t>SANGARARA</t>
  </si>
  <si>
    <t>95702-057-131215</t>
  </si>
  <si>
    <t>GRUPO DELGADO DE LOS RIOS E.I.R.L.</t>
  </si>
  <si>
    <t>CARRETERA EL REPOSO - BAGUA KM. 12</t>
  </si>
  <si>
    <t>AMAZONAS</t>
  </si>
  <si>
    <t>UTCUBAMBA</t>
  </si>
  <si>
    <t>EL MILAGRO</t>
  </si>
  <si>
    <t> 110:GASOLINA 84,220:DIESEL B5</t>
  </si>
  <si>
    <t>DAVID DELGADO FLORES</t>
  </si>
  <si>
    <t>145523-057-060820</t>
  </si>
  <si>
    <t>LOPEZ DURAN IRENE FLOR</t>
  </si>
  <si>
    <t>JR. HAYA DE LA TORRE S/N DEL CC.PP PUERTO PIZANA</t>
  </si>
  <si>
    <t>SAN MARTIN</t>
  </si>
  <si>
    <t>TOCACHE</t>
  </si>
  <si>
    <t>POLVORA</t>
  </si>
  <si>
    <t> 550:Diesel B5 S-50</t>
  </si>
  <si>
    <t> 110:GASOLINA 90</t>
  </si>
  <si>
    <t>0003-ARCI-16-2004</t>
  </si>
  <si>
    <t>AVELINO TAPIA DIAZ</t>
  </si>
  <si>
    <t>MALECON MARAÑON S/N CENTRO POBLADO MENOR SARAMIRIZA</t>
  </si>
  <si>
    <t>MANSERICHE</t>
  </si>
  <si>
    <t>TAPIA DIAZ, AVELINO</t>
  </si>
  <si>
    <t>102067-057-060519</t>
  </si>
  <si>
    <t>MULTISERVICIOS KARELLY &amp; ALEXIS S.A.C.</t>
  </si>
  <si>
    <t>JR. LAS BRISAS S/N</t>
  </si>
  <si>
    <t>ATALAYA</t>
  </si>
  <si>
    <t>TAHUANIA</t>
  </si>
  <si>
    <t>JOHN ABISRROR ANCO</t>
  </si>
  <si>
    <t>0016-ARCI-21-2003</t>
  </si>
  <si>
    <t>ZACARIAS MULLISACA HUACASI</t>
  </si>
  <si>
    <t>CARRETERA COLLANA - MAÑAZO KM. 8 PARCIALIDAD DE COLLANA</t>
  </si>
  <si>
    <t>SAN ROMAN</t>
  </si>
  <si>
    <t>JULIACA</t>
  </si>
  <si>
    <t>MULLISACA HUACASI, ZACARIAS</t>
  </si>
  <si>
    <t>0020-ARCI-21-2002</t>
  </si>
  <si>
    <t>RUBEN ANAHUA HUISA</t>
  </si>
  <si>
    <t>CENTRO POBLADO VILLA CHIPANA (AV. PERÚ S/N)</t>
  </si>
  <si>
    <t>ANAHUA HUISA, RUBEN</t>
  </si>
  <si>
    <t>16711-057-010213</t>
  </si>
  <si>
    <t>JENRRI GARCIA DEL AGUILA</t>
  </si>
  <si>
    <t>JR. UCAYALI 5TA CUADRA</t>
  </si>
  <si>
    <t>PICOTA</t>
  </si>
  <si>
    <t>TRES UNIDOS</t>
  </si>
  <si>
    <t> 55:GASOLINA 90</t>
  </si>
  <si>
    <t>0004-ARCI-01-2002</t>
  </si>
  <si>
    <t>FANNY DALIAS COSSIO FLORES</t>
  </si>
  <si>
    <t>AV. HEROES DEL CENEPA CUADRA 22</t>
  </si>
  <si>
    <t>BAGUA</t>
  </si>
  <si>
    <t> 165:GASOLINA 84</t>
  </si>
  <si>
    <t>COSSIO FLORES, FANY DALIAS</t>
  </si>
  <si>
    <t>131999-057-230720</t>
  </si>
  <si>
    <t>ROBERT CORAL CARBAJAL</t>
  </si>
  <si>
    <t>JR. RENZO CELESTINO SALAS APUELA C.P PAMASHTO</t>
  </si>
  <si>
    <t>LAMAS</t>
  </si>
  <si>
    <t> 55:GASOLINA 84,110:GASOLINA 90,165:Diesel B5 S-50</t>
  </si>
  <si>
    <t>41035-057-211217</t>
  </si>
  <si>
    <t>GRIMALDO BORDA PARICAHUA</t>
  </si>
  <si>
    <t>CARRETERA JULIACA - AREQUIPA KM. 294 PARCIALIDAD SILLUTA</t>
  </si>
  <si>
    <t>CABANILLAS</t>
  </si>
  <si>
    <t> 110:GASOHOL 84 PLUS,165:GASOHOL 84 PLUS,9075:GASOHOL 84 PLUS</t>
  </si>
  <si>
    <t> 220:Diesel B5 S-50,330:Diesel B5 S-50</t>
  </si>
  <si>
    <t>145018-057-081119</t>
  </si>
  <si>
    <t>COLLAR DE PLATA E INVERSIONES E.I.R.L.</t>
  </si>
  <si>
    <t>CARRETERA 3N CAJAMARCA-BAMBAMARCA KM 86.4</t>
  </si>
  <si>
    <t>HUALGAYOC</t>
  </si>
  <si>
    <t>MARIANO HERRERA VASQUEZ</t>
  </si>
  <si>
    <t>21692-057-140819</t>
  </si>
  <si>
    <t>FELIPE ZAPANA DIAZ</t>
  </si>
  <si>
    <t>BARRIO UNION MIRAFLORES AV. 19 DE MAYO S/N</t>
  </si>
  <si>
    <t>USICAYOS</t>
  </si>
  <si>
    <t> 55:GASOHOL 84 PLUS,275:Diesel B5 S-50</t>
  </si>
  <si>
    <t>88556-057-150413</t>
  </si>
  <si>
    <t>EMPRESA MULTISERVICIOS GRIFO RURAL SOL NACIENTE S.R.L.</t>
  </si>
  <si>
    <t>CALLE PROGRESO S/N PP.JJ. 24 DE JUNIO - CABALLO COCHA</t>
  </si>
  <si>
    <t>MARISCAL RAMON CASTILLA</t>
  </si>
  <si>
    <t>RAMON CASTILLA</t>
  </si>
  <si>
    <t>PEPE OSWALDO ALDAVES NATIVIDAD</t>
  </si>
  <si>
    <t>0007-ARCI-21-2001</t>
  </si>
  <si>
    <t>PASCUAL FORA CHINO</t>
  </si>
  <si>
    <t>KM 15 + 600 CARRETERA CHASQUI CACHIPUCARA CPM ACCASO</t>
  </si>
  <si>
    <t>FORA CHINO, PASCUAL</t>
  </si>
  <si>
    <t>18292-057-110517</t>
  </si>
  <si>
    <t xml:space="preserve">FILIBERTO APAZA LAURA </t>
  </si>
  <si>
    <t xml:space="preserve">AV. PERU S/N. </t>
  </si>
  <si>
    <t>143207-057-220519</t>
  </si>
  <si>
    <t>PANDURO BANEO YOLANDA</t>
  </si>
  <si>
    <t>CARRETERA IQUITOS NAUTA K.M. 18.00</t>
  </si>
  <si>
    <t>MAYNAS</t>
  </si>
  <si>
    <t>SAN JUAN BAUTISTA</t>
  </si>
  <si>
    <t>0014-ARCI-21-2001</t>
  </si>
  <si>
    <t>LUIS CCARI QUISPE</t>
  </si>
  <si>
    <t>ESQ. AV. CHOQUEHUANCA Y RAMON CASTILLA Nº 702 BARRIO 1º DE MAYO</t>
  </si>
  <si>
    <t>CCARI QUISPE, LUIS</t>
  </si>
  <si>
    <t>35528-057-060313</t>
  </si>
  <si>
    <t>VIVIAN HUAMAN CALCINA</t>
  </si>
  <si>
    <t>CALLE PUNO S/N</t>
  </si>
  <si>
    <t>SANTIAGO DE PUPUJA</t>
  </si>
  <si>
    <t>91339-057-2011</t>
  </si>
  <si>
    <t>RENE CHURA CHOQUE</t>
  </si>
  <si>
    <t>PREDIO RUSTICO JACHA QUELLOUYO, COMUNIDAD ALTO ARACACHI KELLUYO</t>
  </si>
  <si>
    <t>KELLUYO</t>
  </si>
  <si>
    <t> 57:DIESEL B5,57:GASOLINA 84</t>
  </si>
  <si>
    <t> 57:GASOLINA 84,57:DIESEL B5</t>
  </si>
  <si>
    <t> 57:DIESEL B5</t>
  </si>
  <si>
    <t>0003-ARCI-21-2001</t>
  </si>
  <si>
    <t>DOMINGO DE GUZMAN CAJIA CONDORI</t>
  </si>
  <si>
    <t>CALLE BOLOGNESI S/N BARRIO 8 DE OCTUBRE</t>
  </si>
  <si>
    <t>LAMPA</t>
  </si>
  <si>
    <t>SANTA LUCIA</t>
  </si>
  <si>
    <t>CAJIA CONDORI, DOMINGO DE GUZMAN</t>
  </si>
  <si>
    <t>102505-057-130813</t>
  </si>
  <si>
    <t>MULTISERVICIOS MIDORY E.I.R.L.</t>
  </si>
  <si>
    <t>BARRIO SAN PEDRO S/N - CCNN SEPAHUA</t>
  </si>
  <si>
    <t>SEPAHUA</t>
  </si>
  <si>
    <t>FRYDA MYDARI HIDALGO DAVILA</t>
  </si>
  <si>
    <t>838335-057-050418</t>
  </si>
  <si>
    <t>ANA LUZMILA QUISPE MORALES</t>
  </si>
  <si>
    <t>AV. SAN ROMAN S/N.</t>
  </si>
  <si>
    <t>ARAPA</t>
  </si>
  <si>
    <t> 165:GASOHOL 84 PLUS,550:Diesel B5 S-50</t>
  </si>
  <si>
    <t>147541-057-121119</t>
  </si>
  <si>
    <t>ESTACION DE SERVICIOS MACUACO E.I.R.L.</t>
  </si>
  <si>
    <t>CARRETERA CHICLAYO - LA FLORIDA S/N DEL CASERIO EL CATORCE</t>
  </si>
  <si>
    <t>LAMBAYEQUE</t>
  </si>
  <si>
    <t>CHICLAYO</t>
  </si>
  <si>
    <t>OYOTUN</t>
  </si>
  <si>
    <t> 55:GASOHOL 90 PLUS,110:GASOHOL 84 PLUS,550:Diesel B5 S-50</t>
  </si>
  <si>
    <t>ANTHONY DAVID SANCHEZ RAMIREZ</t>
  </si>
  <si>
    <t>90927-057-2011</t>
  </si>
  <si>
    <t>EVANGELINA APAZA CALSINA</t>
  </si>
  <si>
    <t>CARRETERA ANTAUTA - MINA SAN RAFAEL ZONA ASPROVI</t>
  </si>
  <si>
    <t>MELGAR</t>
  </si>
  <si>
    <t>ANTAUTA</t>
  </si>
  <si>
    <t>123973-057-260617</t>
  </si>
  <si>
    <t>AMBROSIO CELESTINO VILCAPOMA ORIHUELA</t>
  </si>
  <si>
    <t>CALLE LIMA S/N C.P. POTACA VISTA ALEGRE</t>
  </si>
  <si>
    <t>HUANCAYO</t>
  </si>
  <si>
    <t>CHICCHE</t>
  </si>
  <si>
    <t> 110:GASOHOL 90 PLUS,165:Diesel B5 S-50</t>
  </si>
  <si>
    <t>151145-057-110920</t>
  </si>
  <si>
    <t>PAES COMBUSTIBLE EMPRESA INDIVIDUAL DE RESPONSABILIDAD LIMITADA</t>
  </si>
  <si>
    <t>CALLE PADRE GINER MZ N, LOTE 12 A</t>
  </si>
  <si>
    <t>REQUENA</t>
  </si>
  <si>
    <t>JENARO HERRERA</t>
  </si>
  <si>
    <t>JORGE WILFREDO PANAIFO SALAS</t>
  </si>
  <si>
    <t>0005-ARCI-01-2003</t>
  </si>
  <si>
    <t>SEGUNDO EDUARDO MONTALVO ESPINOZA</t>
  </si>
  <si>
    <t>AV. HEROES DEL CENEPA KM. 2.3 CARRETERA BAGUA-EL MILAGRO</t>
  </si>
  <si>
    <t> 55:DIESEL 2</t>
  </si>
  <si>
    <t>MONTALVO ESPINOZA, SEGUNDO EDUARDO</t>
  </si>
  <si>
    <t>92766-057-010612</t>
  </si>
  <si>
    <t>CORPORACION CERON E HIJOS S.A.C.</t>
  </si>
  <si>
    <t>MALECON FRAY MARTIN S/N MZ. 10 LT. 20 - LOCALIDAD DE SANTA CLOTILDE</t>
  </si>
  <si>
    <t>NAPO</t>
  </si>
  <si>
    <t>ADRIANA JACKELINNE CERON FLORES</t>
  </si>
  <si>
    <t>18795-057-310712</t>
  </si>
  <si>
    <t>JULIA BACILIA TURPO TURPO</t>
  </si>
  <si>
    <t>JR. CALVARIO Nº 202</t>
  </si>
  <si>
    <t> 165:GASOHOL 84 PLUS,275:Diesel B5 S-50</t>
  </si>
  <si>
    <t>0001-ARCI-15-2003</t>
  </si>
  <si>
    <t>PEDRO CHIRRE TRUJILLO</t>
  </si>
  <si>
    <t>AV. LARCO HERRERA S/N. INGRESO A CHURIN</t>
  </si>
  <si>
    <t>LIMA</t>
  </si>
  <si>
    <t>OYON</t>
  </si>
  <si>
    <t>PACHANGARA</t>
  </si>
  <si>
    <t>CHIRRE TRUJILLO, PEDRO</t>
  </si>
  <si>
    <t>141974-057-160319</t>
  </si>
  <si>
    <t xml:space="preserve">RENE YUCRA ANDRADE </t>
  </si>
  <si>
    <t>ANEXO CHOCCOYO DE LA COMUNIDAD IDIOPA ÑAUPA JAPO, CARRETERA SANTO TOMAS-VELILLE-COLQUEMARCA-CAPACMARCA</t>
  </si>
  <si>
    <t>COLQUEMARCA</t>
  </si>
  <si>
    <t>138785-057-210918</t>
  </si>
  <si>
    <t xml:space="preserve">JUAN JOSE ARI CASTILLO </t>
  </si>
  <si>
    <t>CARRETERA ASFALTADA AREQUIPA - JULIACA KM. 249 HUANCANÉ CHICO I</t>
  </si>
  <si>
    <t>131877-057-220917</t>
  </si>
  <si>
    <t>GRIFO VALLE DEL PONAZA E.I.R.L.</t>
  </si>
  <si>
    <t>AV. ABRAHAM GARCIA TORRES S/N</t>
  </si>
  <si>
    <t>TINGO DE PONASA</t>
  </si>
  <si>
    <t>LEONIDES VELA TORRES</t>
  </si>
  <si>
    <t>0000015-AMA</t>
  </si>
  <si>
    <t>MANUEL ESTELA BARBOZA</t>
  </si>
  <si>
    <t>CARRETERA CHACHAPOYAS - LEYMEBAMBA</t>
  </si>
  <si>
    <t>CHACHAPOYAS</t>
  </si>
  <si>
    <t>LEIMEBAMBA</t>
  </si>
  <si>
    <t>ESTELA BARBOZA, MANUEL</t>
  </si>
  <si>
    <t>17919-057-030313</t>
  </si>
  <si>
    <t>REINALDA HANCCO VARGAS</t>
  </si>
  <si>
    <t>URB. CALVARIO AV. LOS PROCERES 2DA ETAPA CARRETERA AZANGARO JULIACA</t>
  </si>
  <si>
    <t>0001-ARCI-21-2004</t>
  </si>
  <si>
    <t>LINO DAVID TURPO ZAPANA</t>
  </si>
  <si>
    <t>AV. TUPAC AMARU S/N.</t>
  </si>
  <si>
    <t>SAN ANTON</t>
  </si>
  <si>
    <t>TURPO ZAPANA, LINO DAVID</t>
  </si>
  <si>
    <t>126922-057-210317</t>
  </si>
  <si>
    <t>ELIDA SANTIAGO APOLINARIO</t>
  </si>
  <si>
    <t>LOTE 46 MANZANA J CENTRO POBLADO DE CHAGLLA CARRETERA CHAGLLA-MUÑA</t>
  </si>
  <si>
    <t>PACHITEA</t>
  </si>
  <si>
    <t>CHAGLLA</t>
  </si>
  <si>
    <t>104981-057-231013</t>
  </si>
  <si>
    <t>SEGUNDO CELIS ZUMAETA</t>
  </si>
  <si>
    <t>JR. MARAÑON MZ. 54 LOTE 16 - I ETAPA - SAN LORENZO</t>
  </si>
  <si>
    <t>DATEM DEL MARAÑON</t>
  </si>
  <si>
    <t>BARRANCA</t>
  </si>
  <si>
    <t>18794-057-2011</t>
  </si>
  <si>
    <t>SERVICIOS MULTIPLES "SEÑOR DE LOS MILAGROS CRISTO MORADO" SRL</t>
  </si>
  <si>
    <t>PROLONGACION AREQUIPA S/N. - SALIDA A HUERTA BARRIO REVOLUCION</t>
  </si>
  <si>
    <t> 55:GASOLINA 84,55:SIN PRODUCTO,55:DIESEL B5</t>
  </si>
  <si>
    <t> 55:DIESEL B5,55:SIN PRODUCTO</t>
  </si>
  <si>
    <t> 55:DIESEL B5</t>
  </si>
  <si>
    <t>MARILU MAMANI CHARCA</t>
  </si>
  <si>
    <t>0001-ARCI-18-2001</t>
  </si>
  <si>
    <t>ROMAN GABINO QUISPE ARANA</t>
  </si>
  <si>
    <t>KM. 161.5 CARRETERA BINACIONAL MOQUEGUA DESAGUADERO - SECTOR PAMPA CUELLAR</t>
  </si>
  <si>
    <t>MOQUEGUA</t>
  </si>
  <si>
    <t>MARISCAL NIETO</t>
  </si>
  <si>
    <t>TORATA</t>
  </si>
  <si>
    <t>QUISPE ARANA, ROMAN GABINO</t>
  </si>
  <si>
    <t>40126-057-250313</t>
  </si>
  <si>
    <t>ADELA NINA MOLLO DE FERNANDEZ</t>
  </si>
  <si>
    <t>AV. PANAMERICANA S/N KM.24 CARRETERA YUNGUYO-ZEPITA</t>
  </si>
  <si>
    <t>YUNGUYO</t>
  </si>
  <si>
    <t>COPANI</t>
  </si>
  <si>
    <t>139091-057-141018</t>
  </si>
  <si>
    <t>ROSITA MARIBEL FLORES TORRES</t>
  </si>
  <si>
    <t>JR. RENZO CELESTINO SALAS APUELA MZ. 5 LT. 4A - C.P. PAMASHTO</t>
  </si>
  <si>
    <t>20082-057-061119</t>
  </si>
  <si>
    <t>LEOMANN NEGOCIOS &amp; INVERSIONES SOCIEDAD ANONIMA CERRADA</t>
  </si>
  <si>
    <t>AV. TAMBOPATA S/N. BARRIO SELVA ALEGRE</t>
  </si>
  <si>
    <t>SANDIA</t>
  </si>
  <si>
    <t>SAN PEDRO DE PUTINA PUNCO</t>
  </si>
  <si>
    <t xml:space="preserve">LEONARDO MAMANI PERALTA </t>
  </si>
  <si>
    <t>138144-057-230818</t>
  </si>
  <si>
    <t>WALTER MAMANI MANUELO</t>
  </si>
  <si>
    <t>AV. TACNA S/N C. P. TOTOROMA A 200M. DE PLAZA DE ARMAS</t>
  </si>
  <si>
    <t>0001-ARCI-21-2007</t>
  </si>
  <si>
    <t>TONY FALL AROAPAZA MAMANI</t>
  </si>
  <si>
    <t>KM. 17 CARRETERA CENTO POBLADO MENOR DE CULTA COMUNIDAD CAMPESINA DE ANCCACCA</t>
  </si>
  <si>
    <t>AROAPAZA MAMANI, TONY FALL</t>
  </si>
  <si>
    <t>106363-057-190614</t>
  </si>
  <si>
    <t>EDUARDO VELA RENGIFO</t>
  </si>
  <si>
    <t xml:space="preserve">CARRETERA FEDERICO BASADRE KM 206.5, MARGEN IZQ. CENTRO POBLADO LA DIVISORIA </t>
  </si>
  <si>
    <t>139344-057-291018</t>
  </si>
  <si>
    <t xml:space="preserve">RICALDI ALIANO DE GALVAN SARA MARIA </t>
  </si>
  <si>
    <t>AV. LA AMISTAD S/N - PAUCARTAMBO - PASCO</t>
  </si>
  <si>
    <t>PASCO</t>
  </si>
  <si>
    <t> 55:GASOHOL 84 PLUS,110:GASOHOL 90 PLUS,110:Diesel B5 S-50</t>
  </si>
  <si>
    <t>0000142-PUN</t>
  </si>
  <si>
    <t>MARIO PORFIRIO HUALLPA MAMANI</t>
  </si>
  <si>
    <t>AV. LETICIA Nº 201</t>
  </si>
  <si>
    <t>NUÑOA</t>
  </si>
  <si>
    <t>HUALLPA MAMANI, MARIO PORFIRIO</t>
  </si>
  <si>
    <t>20048-057-260712</t>
  </si>
  <si>
    <t>ESPERANZA LUNA ANAHUA</t>
  </si>
  <si>
    <t>VIA PUNO - YUNGUYO KM. 111 + 700 CENTRO POBLADO BUENA VISTA - CHACACHACA</t>
  </si>
  <si>
    <t>POMATA</t>
  </si>
  <si>
    <t>0006-ARCI-21-2002</t>
  </si>
  <si>
    <t>FELIX QUISPE AGUILAR</t>
  </si>
  <si>
    <t>CALLE LIMON VERDE N° 03 BARRIO 8 DE OCTUBRE</t>
  </si>
  <si>
    <t> 660:DIESEL 2</t>
  </si>
  <si>
    <t>QUISPE AGUILAR, FELIX</t>
  </si>
  <si>
    <t>33300-057-110219</t>
  </si>
  <si>
    <t>ROBLES HUAYNATE SAMUEL ALCIDES</t>
  </si>
  <si>
    <t>CASERIO VIRGEN DE FATIMA CPM SAN JUAN DE YANACOCHA</t>
  </si>
  <si>
    <t>DANIEL ALCIDES CARRION</t>
  </si>
  <si>
    <t>YANAHUANCA</t>
  </si>
  <si>
    <t> 275:Diesel B5 S-50</t>
  </si>
  <si>
    <t>97919-057-060214</t>
  </si>
  <si>
    <t>GRIFO RURAL LERMA SUR E.I.R.L.</t>
  </si>
  <si>
    <t>JR. PUNO S/N</t>
  </si>
  <si>
    <t>PUSI</t>
  </si>
  <si>
    <t>SERAFIN LERMA MAMANI</t>
  </si>
  <si>
    <t>21023-057-300913</t>
  </si>
  <si>
    <t>EDITH DORIS COAQUIRA TICONA</t>
  </si>
  <si>
    <t>JR. LA PAZ S/N.</t>
  </si>
  <si>
    <t>VILQUE</t>
  </si>
  <si>
    <t>95002-057-311211</t>
  </si>
  <si>
    <t>TOMAS AQUILINO JUAREZ CARRANZA</t>
  </si>
  <si>
    <t>JR. SUCRE N° 414, RAMON CASTILLA</t>
  </si>
  <si>
    <t>LA LIBERTAD</t>
  </si>
  <si>
    <t>OTUZCO</t>
  </si>
  <si>
    <t> 275:DIESEL B5</t>
  </si>
  <si>
    <t>106041-057-101016</t>
  </si>
  <si>
    <t>SANTOS MODESTO RUIZ PARIMANGO</t>
  </si>
  <si>
    <t>ESQUINA AV. TACNA Y JR. PROGRESO, C.P.M. NUEVO MUNDO KM 12 CARRETERA BELLAVISTA - BAJO BIAVO</t>
  </si>
  <si>
    <t>BELLAVISTA</t>
  </si>
  <si>
    <t>BAJO BIAVO</t>
  </si>
  <si>
    <t> 55:GASOLINA 90,55:GASOLINA 84,220:DIESEL B5</t>
  </si>
  <si>
    <t>140089-057-031218</t>
  </si>
  <si>
    <t xml:space="preserve">LUIS FRANCISCO HUARACCALLO BEDOYA </t>
  </si>
  <si>
    <t>SECTOR CHUMPI, COMUNIDAD CAMPESINA DE MARCAPATA COLLANA</t>
  </si>
  <si>
    <t>MARCAPATA</t>
  </si>
  <si>
    <t>120904-057-100516</t>
  </si>
  <si>
    <t>MARIO TEOFILO SALINAS ANGELES</t>
  </si>
  <si>
    <t>CARRETERA YUNGAY - LLANGANUCO S/N, SHILLCOP, ALTURA DEL KM 8</t>
  </si>
  <si>
    <t>ANCASH</t>
  </si>
  <si>
    <t>YUNGAY</t>
  </si>
  <si>
    <t>132747-057-270120</t>
  </si>
  <si>
    <t xml:space="preserve">ERNESTO FABIAN FLORES COA </t>
  </si>
  <si>
    <t xml:space="preserve">CARRETERA PACAJE OLLACHEA - CENTRO POBLADO PACAJE HUANUTUYO </t>
  </si>
  <si>
    <t>MACUSANI</t>
  </si>
  <si>
    <t> 110:Diesel B5 S-50,110:GASOHOL 84 PLUS</t>
  </si>
  <si>
    <t>132462-057-150318</t>
  </si>
  <si>
    <t>ADRIAN PACOMPIA PELINCO</t>
  </si>
  <si>
    <t>CENTRO POBLADO SUCASCO - AVDA. SANTA CRUZ ESQ. CON 30 DE AGOSTO S/N</t>
  </si>
  <si>
    <t>COATA</t>
  </si>
  <si>
    <t>114104-057-051216</t>
  </si>
  <si>
    <t xml:space="preserve">ISMAEL SOTO TAIPE </t>
  </si>
  <si>
    <t>AV. HUANCAVELICA S/N, CENTRO POBLADO DE CCASAPATA</t>
  </si>
  <si>
    <t>YAULI</t>
  </si>
  <si>
    <t>137050-057-190618</t>
  </si>
  <si>
    <t>FAUSTO VALDIVIA MORENO</t>
  </si>
  <si>
    <t>CENTRO POBLADO YUNGUILLA</t>
  </si>
  <si>
    <t>HUARI</t>
  </si>
  <si>
    <t>PONTO</t>
  </si>
  <si>
    <t>140038-057-291118</t>
  </si>
  <si>
    <t xml:space="preserve">ERASMO QUISPE YUPANQUI </t>
  </si>
  <si>
    <t>COMUNIDAD DE PARCCOCALLA</t>
  </si>
  <si>
    <t>CCARHUAYO</t>
  </si>
  <si>
    <t>121766-057-200819</t>
  </si>
  <si>
    <t>TAMBINE ROBLES EPIFANIO ESTEBAN</t>
  </si>
  <si>
    <t>AV.MALECON MZ.7 LT.13 -BARRIO LAS BRISAS</t>
  </si>
  <si>
    <t>EPIFANIO ESTEBAN TAMBINE ROBLES</t>
  </si>
  <si>
    <t>44423-057-191113</t>
  </si>
  <si>
    <t>ANGEL RAFAEL CARBAJAL MEDINA</t>
  </si>
  <si>
    <t>PUNTA ESTE ENTRE LOS AFLUENTES DEL RIO SEPAHUA Y RIO URUBAMBA</t>
  </si>
  <si>
    <t>VICTOR REYMUNDO SULLUCHUCO</t>
  </si>
  <si>
    <t>C.P.M. PUERTO TAMBORAPA KM. 56 CARRETERA SAN IGNACIO</t>
  </si>
  <si>
    <t>CHIRINOS</t>
  </si>
  <si>
    <t> 110:DIESEL 2</t>
  </si>
  <si>
    <t> 275:GASOLINAS PARA USO AUTOMOTOR</t>
  </si>
  <si>
    <t>REYMUNDO SULLUCHUCO, VICTOR</t>
  </si>
  <si>
    <t>146273-057-100919</t>
  </si>
  <si>
    <t>CARDENAS RETAMOZO ELICH LOURDES</t>
  </si>
  <si>
    <t>AV. SANTA CLARA S/N</t>
  </si>
  <si>
    <t>CHURCAMPA</t>
  </si>
  <si>
    <t>COSME</t>
  </si>
  <si>
    <t>0001-ARCI-22-2008</t>
  </si>
  <si>
    <t>LUBRICENTRO RODRIGO E.I.R.LTDA</t>
  </si>
  <si>
    <t>CARRETERA MARGINAL F. BEALUNDE T. KM. 442+905 C.P. NARANJILLO</t>
  </si>
  <si>
    <t>RIOJA</t>
  </si>
  <si>
    <t>NUEVA CAJAMARCA</t>
  </si>
  <si>
    <t>RODRIGO VILLALOBOS, ALEX</t>
  </si>
  <si>
    <t>43741-057-260515</t>
  </si>
  <si>
    <t>RUBEN HUAMANRAYME QUISPE</t>
  </si>
  <si>
    <t>AV TUPAC AMARU S/N</t>
  </si>
  <si>
    <t>CANAS</t>
  </si>
  <si>
    <t>YANAOCA</t>
  </si>
  <si>
    <t> 55:GASOHOL 84 PLUS,55:GASOHOL 84 PLUS</t>
  </si>
  <si>
    <t>106413-057-270418</t>
  </si>
  <si>
    <t>GASOLIBER S.A.C</t>
  </si>
  <si>
    <t>SECTOR PIÑAPA – CARRETERA KM 9 + 300</t>
  </si>
  <si>
    <t>TACNA</t>
  </si>
  <si>
    <t>JORGE BASADRE</t>
  </si>
  <si>
    <t>LOCUMBA</t>
  </si>
  <si>
    <t> 55:GASOHOL 95 PLUS</t>
  </si>
  <si>
    <t>HUMBERTO FELIPE OVIEDO PEREZ</t>
  </si>
  <si>
    <t>139450-057-021118</t>
  </si>
  <si>
    <t xml:space="preserve">MARIO SILVERIO HUILLCA QUISPE </t>
  </si>
  <si>
    <t xml:space="preserve">CARRETERA TRONCAL AMPARAES - LARES CENTRO POBLADO AMPARAES S/N </t>
  </si>
  <si>
    <t>CALCA</t>
  </si>
  <si>
    <t>LARES</t>
  </si>
  <si>
    <t>144363-057-040619</t>
  </si>
  <si>
    <t xml:space="preserve">YOEL CONZA LOZANO </t>
  </si>
  <si>
    <t xml:space="preserve">LOTE N° 4 DE LA MANZANA I1, CENTRO POBLADO DE ACOPIA </t>
  </si>
  <si>
    <t>ACOPIA</t>
  </si>
  <si>
    <t>94123-057-030815</t>
  </si>
  <si>
    <t>EMPRESA DE SERVICIOS MULTIPLES PACHA RAYA S.A.C.</t>
  </si>
  <si>
    <t>JR. BELLAVISTA N° 496</t>
  </si>
  <si>
    <t>COASA</t>
  </si>
  <si>
    <t xml:space="preserve">CAHUANA ESTRADA ARNALDO </t>
  </si>
  <si>
    <t>148205-057-111219</t>
  </si>
  <si>
    <t xml:space="preserve">LOURDES CENTENO PACORI </t>
  </si>
  <si>
    <t>CARRETERA AFIRMADA JULIACA - ISLA KM. 9, PREDIO CHEJOLLANI LUNQUI PAMPA 33B, PARCELA 02</t>
  </si>
  <si>
    <t>123594-057-140916</t>
  </si>
  <si>
    <t>MARIBEL ALICIA CERDA SANCHEZ</t>
  </si>
  <si>
    <t>CARRETERA A CHACAS SECTOR PIRUSHTU</t>
  </si>
  <si>
    <t>ASUNCION</t>
  </si>
  <si>
    <t>CHACAS</t>
  </si>
  <si>
    <t> 55:GASOHOL 90 PLUS,275:DIESEL B5</t>
  </si>
  <si>
    <t>140401-057-191218</t>
  </si>
  <si>
    <t xml:space="preserve">VALYA TTITO AROSQUIPA </t>
  </si>
  <si>
    <t>PROLONGACION AV. BRASIL VÍA INTEROCEÁNICA C. P. PROGRESO</t>
  </si>
  <si>
    <t>0002-ARCI-16-2006</t>
  </si>
  <si>
    <t>ADELINO RIVERA PEREZ</t>
  </si>
  <si>
    <t>AV. 28 DE JULIO ESQ. CON CALLE COSTA RICA - CENTRO POBLADO MENOR SAN LORENZO</t>
  </si>
  <si>
    <t>RIVERA PEREZ, ADELINO</t>
  </si>
  <si>
    <t>94510-057-041211</t>
  </si>
  <si>
    <t>TIMOTEO QUISPE MAMANI</t>
  </si>
  <si>
    <t>CARRETERA CHECCA - DESCANSO-COMUNIDAD COLLANA</t>
  </si>
  <si>
    <t>CHECCA</t>
  </si>
  <si>
    <t> 165:GASOLINA 84,550:DIESEL B5,570:DIESEL B5</t>
  </si>
  <si>
    <t>95006-057-061211</t>
  </si>
  <si>
    <t>MARCELO MANDURA QUISPE</t>
  </si>
  <si>
    <t>CARRETERA INTEROCEANICA - COMUNIDAD CAMPESINA TINKE-CENTRO POBLADO</t>
  </si>
  <si>
    <t>OCONGATE</t>
  </si>
  <si>
    <t> 55:GASOHOL 84 PLUS,275:DIESEL B5</t>
  </si>
  <si>
    <t>139249-057-241018</t>
  </si>
  <si>
    <t xml:space="preserve">NEOFE LOZANO MAMANI </t>
  </si>
  <si>
    <t>VIA LARES - CALCA S/N</t>
  </si>
  <si>
    <t>108926-057-140414</t>
  </si>
  <si>
    <t>JOSE ODILO BAUTISTA FUSTAMANTE</t>
  </si>
  <si>
    <t>CALLE PALERMO S/N - CASERIO EL PARAISO</t>
  </si>
  <si>
    <t> 55:GASOLINA 84,55:GASOLINA 90,220:DIESEL B5</t>
  </si>
  <si>
    <t>111090-057-180814</t>
  </si>
  <si>
    <t>OLGA NUÑEZ NUÑEZ</t>
  </si>
  <si>
    <t>JR. LOS PROCERES MZ "G" LOTE 02, CASERIO LA MARGINAL</t>
  </si>
  <si>
    <t>CUÑUMBUQUI</t>
  </si>
  <si>
    <t>141241-057-130219</t>
  </si>
  <si>
    <t>ONESIMO PINEDO BANCHO</t>
  </si>
  <si>
    <t>CALLE JOSE GALVEZ LOTE N° 44 BARRIO SANTA GEMA</t>
  </si>
  <si>
    <t>115438-057-280519</t>
  </si>
  <si>
    <t>MARIZOL PRIETO COAQUIRA</t>
  </si>
  <si>
    <t>AV. RUBEN DARIO MANZANA B LOTE 6</t>
  </si>
  <si>
    <t>VELILLE</t>
  </si>
  <si>
    <t>107964-057-170214</t>
  </si>
  <si>
    <t>ROSA ILIANA TUESTA PANDURO</t>
  </si>
  <si>
    <t>CARRETERA SAPOSOA - SAN ANDRES</t>
  </si>
  <si>
    <t>HUALLAGA</t>
  </si>
  <si>
    <t>SAPOSOA</t>
  </si>
  <si>
    <t>148675-057-160120</t>
  </si>
  <si>
    <t>CH &amp; M INVERSIONES Y NEGOCIOS YUYAPICHIS S.R.L.</t>
  </si>
  <si>
    <t xml:space="preserve">ENTRANDO POR CARRETERA YUYAPICHIS MARGEN IZQUIERDO , SALIENDO MARGEN DERECHO - YUYAPICHIS </t>
  </si>
  <si>
    <t>PUERTO INCA</t>
  </si>
  <si>
    <t>YUYAPICHIS</t>
  </si>
  <si>
    <t> 165:GASOHOL 90 PLUS</t>
  </si>
  <si>
    <t> 495:Diesel B5 S-50</t>
  </si>
  <si>
    <t>SANDOVAL JUAN DE DIOS WILBER</t>
  </si>
  <si>
    <t>109856-057-300315</t>
  </si>
  <si>
    <t>GRIFO RURAL MARKINÑO EMPRESA INDIVIDUAL DE RESPONSABILIDAD LIMITADA</t>
  </si>
  <si>
    <t>ANEXO CHECCASPAMPA S/N (PISTA PRINCIPAL KM. 67)</t>
  </si>
  <si>
    <t> 110:GASOHOL 84 PLUS,220:DIESEL B5 S-50</t>
  </si>
  <si>
    <t>FRANCISCO HUAMAN YAPURA</t>
  </si>
  <si>
    <t>143063-057-140519</t>
  </si>
  <si>
    <t>EMERSON IGNACIO ALONZO GUERRA</t>
  </si>
  <si>
    <t xml:space="preserve">FUNDO CUATRO HERMANITAS DEL CASERIO TRES ISLAS </t>
  </si>
  <si>
    <t>CORONEL PORTILLO</t>
  </si>
  <si>
    <t>NUEVA REQUENA</t>
  </si>
  <si>
    <t>21618-057-240313</t>
  </si>
  <si>
    <t>YISELA YENI MAQUERA LAIME</t>
  </si>
  <si>
    <t>CARRETERA PANAMERICANA SUR PUNO - DESAGUADERO KM. 67</t>
  </si>
  <si>
    <t>134529-057-030418</t>
  </si>
  <si>
    <t xml:space="preserve">JULIAN HUILLCA MERMA </t>
  </si>
  <si>
    <t>SECTOR TELAR CONCHA COMUNIDAD CAMPESINA DE PUMAHUASI</t>
  </si>
  <si>
    <t>ESPINAR</t>
  </si>
  <si>
    <t> 110:GASOHOL 84 PLUS,605:Diesel B5 S-50</t>
  </si>
  <si>
    <t>17942-057-030313</t>
  </si>
  <si>
    <t>GRIFO SAN ANTONIO II E.I.R.L.</t>
  </si>
  <si>
    <t>AV. PRINCIPAL S/N. BARRIO CENTRAL Nº 1 CENTRO POBLADO MENOR LA RINCONADA</t>
  </si>
  <si>
    <t>SAN ANTONIO DE PUTINA</t>
  </si>
  <si>
    <t>ANANEA</t>
  </si>
  <si>
    <t xml:space="preserve">EDWIN EVARISTO QUISPE QUISPE </t>
  </si>
  <si>
    <t>151496-057-270920</t>
  </si>
  <si>
    <t xml:space="preserve">HERMINIA VALDIVIA CHAVEZ </t>
  </si>
  <si>
    <t>JR CENTENARIO S/N</t>
  </si>
  <si>
    <t>HUAMALIES</t>
  </si>
  <si>
    <t>MONZON</t>
  </si>
  <si>
    <t>0000025-PUN</t>
  </si>
  <si>
    <t>CESAR VICTOR CASTILLO LOZA</t>
  </si>
  <si>
    <t>CARRETERA JULI - POMATA CASERIO SAN MIGUEL KM. 103</t>
  </si>
  <si>
    <t>CASTILLO LOZA, CESAR VICTOR</t>
  </si>
  <si>
    <t>0005-ARCI-16-2006</t>
  </si>
  <si>
    <t>JOSE EDILBERTO ESTELA ALTAMIRANO</t>
  </si>
  <si>
    <t>AV. PRINCIPAL S/N KM. 1.5 C.P.M. VILLA SARAMIRIZA</t>
  </si>
  <si>
    <t> 495:DIESEL 2</t>
  </si>
  <si>
    <t>ESTELA ALTAMIRANO, JOSE EDILBERTO</t>
  </si>
  <si>
    <t>61729-057-180612</t>
  </si>
  <si>
    <t>KEMUEL FARAON CAQUI PABLO</t>
  </si>
  <si>
    <t>JR. PROLONGACIÓN 28 DE JULIO S/N</t>
  </si>
  <si>
    <t>LLATA</t>
  </si>
  <si>
    <t>133057-057-281117</t>
  </si>
  <si>
    <t xml:space="preserve">TIMOTEO ANTONIO VEGA ESPINOZA </t>
  </si>
  <si>
    <t xml:space="preserve">AV. 28 DE JULIO S/N A 4 CUADRAS DE LA PLAZA </t>
  </si>
  <si>
    <t>HUACAYBAMBA</t>
  </si>
  <si>
    <t> 55:Diesel B5 S-50</t>
  </si>
  <si>
    <t>122101-057-161216</t>
  </si>
  <si>
    <t>ABELINO JABO OGOÑA</t>
  </si>
  <si>
    <t>JR. MARAÑON MZ. 72, LOTE 12 - I ETAPA</t>
  </si>
  <si>
    <t>91698-057-240712</t>
  </si>
  <si>
    <t>MARIA DE LOS ANGELES MORI USHIÑAHUA</t>
  </si>
  <si>
    <t>CENTRO POBLADO LIBERTAD KM 82 CARRETERA FERNANDO BELAUNDE TERRY</t>
  </si>
  <si>
    <t>SAN RAFAEL</t>
  </si>
  <si>
    <t> 57:GASOLINA 90</t>
  </si>
  <si>
    <t> 114:GASOLINA 84</t>
  </si>
  <si>
    <t>0001-ARCI-06-2007</t>
  </si>
  <si>
    <t>ALEX OSWALDO MOYA ESTELA</t>
  </si>
  <si>
    <t xml:space="preserve">SECTOR PALO BLANCO KM 118+ 219 CARRETERA OLMOS -CORRAL QUEMADO </t>
  </si>
  <si>
    <t>JAEN</t>
  </si>
  <si>
    <t>PUCARA</t>
  </si>
  <si>
    <t>MOYA ESTELA, ALEX OSWALDO</t>
  </si>
  <si>
    <t>127450-057-020817</t>
  </si>
  <si>
    <t>GRIFO RURAL EL PINTEÑO EMPRESA INDIVIDUAL DE RESPONSABILIDAD LIMITADA</t>
  </si>
  <si>
    <t>JR. LAS PALMAS C-4 PUEBLO TRADICIONAL</t>
  </si>
  <si>
    <t>PINTO RECODO</t>
  </si>
  <si>
    <t> 55:GASOLINA 90,55:GASOLINA 84,220:Diesel B5 S-50,220:DIESEL B5</t>
  </si>
  <si>
    <t>CATY DÍAZ SALDAÑA</t>
  </si>
  <si>
    <t>142529-057-090419</t>
  </si>
  <si>
    <t xml:space="preserve">CARBOR VIDAL CHICATA LAZO </t>
  </si>
  <si>
    <t>DENTRO DEL FUNDO GUADALUPE-FRACCION 02 CON EL ANEXO TOTORNIYOC DE LA COMUNIDAD DE IDIOPA ÑAUPA JAPO</t>
  </si>
  <si>
    <t>17898-057-240313</t>
  </si>
  <si>
    <t>MANUELA MACHACA CAYO</t>
  </si>
  <si>
    <t>KM. 41.5 CARRETERA JULIACA - HUANCANE COMUNIDAD CAMPESINA TUNI GRANDE</t>
  </si>
  <si>
    <t>18810-057-300513</t>
  </si>
  <si>
    <t>ALBERTO LIHUISE CASTRO</t>
  </si>
  <si>
    <t>CENTRO POBLADO CORDILLERANO - COMUNIDAD PUNA AYLLU</t>
  </si>
  <si>
    <t>CUYOCUYO</t>
  </si>
  <si>
    <t>121630-057-260618</t>
  </si>
  <si>
    <t>GRIFO ODRANOEL S.R.L.</t>
  </si>
  <si>
    <t>URB. LOS CLAVELES S/N - CENTRO POBLADO CULLUCACHI</t>
  </si>
  <si>
    <t>PHARA</t>
  </si>
  <si>
    <t>SANTOS CUYUCHI HUANCA</t>
  </si>
  <si>
    <t>0004-ARCI-01-2004</t>
  </si>
  <si>
    <t>FELIBERTO VASQUEZ TOCTO</t>
  </si>
  <si>
    <t>AV. AGROPECUARIA KM. 01</t>
  </si>
  <si>
    <t> 330:SIN PRODUCTO</t>
  </si>
  <si>
    <t> 330:DIESEL 2</t>
  </si>
  <si>
    <t>VASQUEZ TOCTO, FELIBERTO</t>
  </si>
  <si>
    <t>146304-057-081020</t>
  </si>
  <si>
    <t xml:space="preserve">HONEIDA YOVANI GUERRERO ABAD </t>
  </si>
  <si>
    <t>CARRETERA TINGO MARIA-MONZON S/N BARRIO PRIMAVERA CENTRO POBLADO CACHICOTO</t>
  </si>
  <si>
    <t> 55:GASOHOL 95 PLUS,110:GASOHOL 90 PLUS,550:Diesel B5 S-50</t>
  </si>
  <si>
    <t>0005-ARCI-01-2004</t>
  </si>
  <si>
    <t>SANTOS VASQUEZ TOCTO</t>
  </si>
  <si>
    <t>CARRETERA BAGUA - EL MILAGRO KM 3.5</t>
  </si>
  <si>
    <t>VASQUEZ TOCTO, SANTOS</t>
  </si>
  <si>
    <t>147727-057-200120</t>
  </si>
  <si>
    <t>LOAYZA ENRIQUEZ NICANOR</t>
  </si>
  <si>
    <t>ANEXO Q'ENQO S/N</t>
  </si>
  <si>
    <t>124014-057-081016</t>
  </si>
  <si>
    <t>JOSE JOB TRIGOSO OCAMPO</t>
  </si>
  <si>
    <t>CARRETERA AFIRMADA NUEVO CHIRIMOTO-LA UNIÓN-PRIMAVERA-EL LIBANO</t>
  </si>
  <si>
    <t>RODRIGUEZ DE MENDOZA</t>
  </si>
  <si>
    <t>OMIA</t>
  </si>
  <si>
    <t> 3025:GASOLINA 84</t>
  </si>
  <si>
    <t> 12100:DIESEL B5</t>
  </si>
  <si>
    <t> 3025:GASOLINA 90</t>
  </si>
  <si>
    <t>61963-057-070812</t>
  </si>
  <si>
    <t>DINA ELEUTERIA ALVAREZ DE QUISPE</t>
  </si>
  <si>
    <t>PROLONGACION 11 DE MAYO S/N - HUANCARANI</t>
  </si>
  <si>
    <t>HUANCARANI</t>
  </si>
  <si>
    <t>94642-057-170219</t>
  </si>
  <si>
    <t>JUAN PABLO ZUBIATE TRIGOSO</t>
  </si>
  <si>
    <t>CARRETERA IQUITOS - NAUTA KM. 54.600</t>
  </si>
  <si>
    <t>140392-057-171218</t>
  </si>
  <si>
    <t>PETROINCLAN DEL SUR E.I.R.L.</t>
  </si>
  <si>
    <t>ASOCIACION DE VIVIENDA VILLA AGRARIA "SAN BARTOLOME DE INCLAN" MZ. J, LOTE 01</t>
  </si>
  <si>
    <t>INCLAN</t>
  </si>
  <si>
    <t> 55:GASOHOL 95 PLUS,55:GASOHOL 90 PLUS,55:GASOHOL 84 PLUS,550:Diesel B5 S-50</t>
  </si>
  <si>
    <t>ROGER CHALLO VILCA</t>
  </si>
  <si>
    <t>119521-057-110316</t>
  </si>
  <si>
    <t>MAMANI MAMANI MAURO</t>
  </si>
  <si>
    <t>FUNDO TUNQUIPA CARRETERA KELLUYO-PIZACOMA</t>
  </si>
  <si>
    <t>132961-057-090920</t>
  </si>
  <si>
    <t xml:space="preserve">FREDY ANDIA MANSILLA </t>
  </si>
  <si>
    <t xml:space="preserve">C.P. PENETRACION DEL VALLE LACCO YAVERO S/N </t>
  </si>
  <si>
    <t>QUELLOUNO</t>
  </si>
  <si>
    <t>0001-ARCI-22-2005</t>
  </si>
  <si>
    <t>KEYLI OTILIA SANCHEZ LOZANO</t>
  </si>
  <si>
    <t xml:space="preserve">CRUCE CON JIRON MISAEL VASQUEZ S/N Y AV. 28 DE JULIO </t>
  </si>
  <si>
    <t>SANCHEZ LOZANO, KEYLI OTILIA</t>
  </si>
  <si>
    <t>106911-057-130720</t>
  </si>
  <si>
    <t>SERVICENTRO 8 DE JULIO E.I.R.L.</t>
  </si>
  <si>
    <t>CARRETERA A CENTRO POBLADO DOS DE MAYO</t>
  </si>
  <si>
    <t>SAUCE</t>
  </si>
  <si>
    <t> 55:GASOLINA 84,55:GASOLINA 90,220:Diesel B5 S-50</t>
  </si>
  <si>
    <t>MONTENEGRO RAMOS CRISTOBAL</t>
  </si>
  <si>
    <t>105189-057-160913</t>
  </si>
  <si>
    <t>FEDIBERTO REYES LOPEZ</t>
  </si>
  <si>
    <t>CASERIO EL OVERAL ANEXO EL MOLINO KM. 21 + 600</t>
  </si>
  <si>
    <t>PIURA</t>
  </si>
  <si>
    <t>HUANCABAMBA</t>
  </si>
  <si>
    <t>HUARMACA</t>
  </si>
  <si>
    <t> 165:DIESEL B5</t>
  </si>
  <si>
    <t>0000050-PUN</t>
  </si>
  <si>
    <t xml:space="preserve">JUANA SAYRE DE YAPUCHURA </t>
  </si>
  <si>
    <t>AV. HEROES DEL PACIFICO S/N.</t>
  </si>
  <si>
    <t>TINICACHI</t>
  </si>
  <si>
    <t>SAYRE DE YAPUCHURA, JUANA</t>
  </si>
  <si>
    <t>0007-ARCI-01-2003</t>
  </si>
  <si>
    <t>TELMO JESÚS MENDOZA LINGAN</t>
  </si>
  <si>
    <t>AV. CAJAMARCA Nº 726</t>
  </si>
  <si>
    <t> 440:DIESEL 2</t>
  </si>
  <si>
    <t>MENDOZA LINGAN, TELMO JESUS</t>
  </si>
  <si>
    <t>42417-057-170918</t>
  </si>
  <si>
    <t>GLADYS MARIA VASQUEZ CHUQUIHUANCA</t>
  </si>
  <si>
    <t>CARRETERA PANAMERICANA NORTE KM 859</t>
  </si>
  <si>
    <t>MORROPE</t>
  </si>
  <si>
    <t> 55:GASOHOL 84 PLUS,55:GASOHOL 90 PLUS,220:Diesel B5 S-50</t>
  </si>
  <si>
    <t>150672-057-270920</t>
  </si>
  <si>
    <t>ALONZO GUERRA EMERSON IGNACIO</t>
  </si>
  <si>
    <t>AV. SAN PABLO DE JUANTIA ESQUINA CON JR. CORAZÓN DE JESÚS, DEL CASERÍO SAN PABLO DE JUANTIA</t>
  </si>
  <si>
    <t>103120-057-050613</t>
  </si>
  <si>
    <t>JOSE ELMER CRUZ MONTEZA</t>
  </si>
  <si>
    <t>SECTOR PINGOBAMBA TORIL (PREDIO EL HIGO) LOTE A</t>
  </si>
  <si>
    <t>CHOTA</t>
  </si>
  <si>
    <t> 55:GASOHOL 84 PLUS,55:GASOHOL 90 PLUS,220:DIESEL B5</t>
  </si>
  <si>
    <t>88166-057-230312</t>
  </si>
  <si>
    <t>LUZ ANA MOSQUERA FLORES</t>
  </si>
  <si>
    <t xml:space="preserve">AV. LAS DELICIAS S/N CARRETERA FERNANDO BELAUNDE TERRY </t>
  </si>
  <si>
    <t>ELIAS SOPLIN VARGAS</t>
  </si>
  <si>
    <t> 57:GASOLINA 84</t>
  </si>
  <si>
    <t> 55:GASOLINA 84,275:DIESEL B5</t>
  </si>
  <si>
    <t> 285:DIESEL B2</t>
  </si>
  <si>
    <t>40812-057-090118</t>
  </si>
  <si>
    <t>MARIO TIPO HUAYTA</t>
  </si>
  <si>
    <t>AV. SANTO DOMINGO Nº 715</t>
  </si>
  <si>
    <t>CRUCERO</t>
  </si>
  <si>
    <t> 165:GASOHOL 84 PLUS</t>
  </si>
  <si>
    <t>118046-057-020516</t>
  </si>
  <si>
    <t>MIRIAM LOPEZ GENOVEZ</t>
  </si>
  <si>
    <t>CARRETERA FERNANDO BELAUNDE TERRY KM 3.5 CASERIO PUCAYACU</t>
  </si>
  <si>
    <t> 55:GASOLINA 90,275:DIESEL B5</t>
  </si>
  <si>
    <t>133136-057-301117</t>
  </si>
  <si>
    <t>OTINIANO HUAMAN SORIA</t>
  </si>
  <si>
    <t>JR. AMADEO ZUMAETA VALLES LT. 05 MZ. 16</t>
  </si>
  <si>
    <t>SHANAO</t>
  </si>
  <si>
    <t> 55:DIESEL B5,55:Diesel B5 S-50</t>
  </si>
  <si>
    <t>130687-057-051218</t>
  </si>
  <si>
    <t>JULIAN ROBER BRAVO QUIÑONES</t>
  </si>
  <si>
    <t xml:space="preserve">AV. PERU S/N VIA PRINCIPAL CARRETERA TINGO MARIA MONZON CENTRO POBLADO DE CACHICOTO </t>
  </si>
  <si>
    <t> 55:GASOHOL 90 PLUS,55:GASOHOL 84 PLUS,220:Diesel B5 S-50</t>
  </si>
  <si>
    <t>127146-057-210318</t>
  </si>
  <si>
    <t xml:space="preserve">VICTOR GUSMAN ANTUYAN CADILLO </t>
  </si>
  <si>
    <t>JR. LAS ROSAS S/N - HUAYPAN</t>
  </si>
  <si>
    <t>MANCOS</t>
  </si>
  <si>
    <t>140260-057-101218</t>
  </si>
  <si>
    <t>MAQUINARIAS SUR PERU EMPRESA INDIVIDUAL DE RESPONSABILIDAD LIMITADA</t>
  </si>
  <si>
    <t>CARRETERA PANAMERICANA SUR KM. 282 JULIACA-AREQUIPA</t>
  </si>
  <si>
    <t>CABANA</t>
  </si>
  <si>
    <t xml:space="preserve">LUCIANO AÑASCO SUCARI </t>
  </si>
  <si>
    <t>135069-057-270318</t>
  </si>
  <si>
    <t>PABLO TORRES CHILCÓN</t>
  </si>
  <si>
    <t>AV. LA UNIÓN S/N CENTRO POBLADO LA POZA</t>
  </si>
  <si>
    <t>CONDORCANQUI</t>
  </si>
  <si>
    <t>RIO SANTIAGO</t>
  </si>
  <si>
    <t> 55:GASOLINA 90,110:GASOLINA 84,550:DIESEL B5</t>
  </si>
  <si>
    <t>123931-057-190916</t>
  </si>
  <si>
    <t>AKENY MAGALI AREVALO REATEGUI</t>
  </si>
  <si>
    <t>CARRETERA SACANCHE - SAPASOA S/N</t>
  </si>
  <si>
    <t>EL ESLABON</t>
  </si>
  <si>
    <t>0001-ARCI-16-2003</t>
  </si>
  <si>
    <t>HUYALA CONTRATISTAS Y SERVICIOS GENERALES S.R.L.</t>
  </si>
  <si>
    <t>CALLE 24 DE JUNIO N° 104 C.P.M. SARAMIRIZA</t>
  </si>
  <si>
    <t>YAPAPASCA LARRAIN, HUMBERTO</t>
  </si>
  <si>
    <t>96642-057-040912</t>
  </si>
  <si>
    <t>GILBERTO PEREZ VILCHEZ</t>
  </si>
  <si>
    <t>KM 15 CARRETERA ASFALTADA PEDRO RUIZ GALLO-CHACHAPOYAS, ANECO COCAHUAYCO</t>
  </si>
  <si>
    <t>BONGARA</t>
  </si>
  <si>
    <t>VALERA</t>
  </si>
  <si>
    <t>134814-057-060318</t>
  </si>
  <si>
    <t>YOLANDA PANTOJA MORALES</t>
  </si>
  <si>
    <t>SECTOR TARAPAMPA (CARRETERA A MASIN)</t>
  </si>
  <si>
    <t>MASIN</t>
  </si>
  <si>
    <t>82852-057-190920</t>
  </si>
  <si>
    <t>GINA RAQUEL PINEDO RUIZ</t>
  </si>
  <si>
    <t>CARRETERA LAMAS - CACATACHI KM. 1.5 - SECTOR JULAO</t>
  </si>
  <si>
    <t>149291-057-280220</t>
  </si>
  <si>
    <t>GRUPO ISRAEL DE MENGANTONI E.I.R.L.</t>
  </si>
  <si>
    <t>AV. BOLOGNESI MZ. 01 LT. 12</t>
  </si>
  <si>
    <t>EDITH DAYSI REYES ALARCON</t>
  </si>
  <si>
    <t>139467-057-041118</t>
  </si>
  <si>
    <t>GRIFO RURAL EL HUARANGO E.I.R.L.</t>
  </si>
  <si>
    <t>ASENTAMIENTO HUMANO LA NUEVA CENTRAL ZONA 3, LOTE Nº 1, MZ. N</t>
  </si>
  <si>
    <t>CASTILLA</t>
  </si>
  <si>
    <t>APLAO</t>
  </si>
  <si>
    <t xml:space="preserve">JORGE SABINO ZUÑIGA GUZMAN </t>
  </si>
  <si>
    <t>111281-057-070820</t>
  </si>
  <si>
    <t>DOYLI DEL AGUILA FONSECA</t>
  </si>
  <si>
    <t>CARRETERA FERNANDO BELAUNDE TERRY S/N A 450 METROS PASANDO EL CRUCE A SAPOSOA</t>
  </si>
  <si>
    <t>SACANCHE</t>
  </si>
  <si>
    <t> 165:Diesel B5 S-50</t>
  </si>
  <si>
    <t>132141-057-301219</t>
  </si>
  <si>
    <t>INVERSIONES Y PROVEEDORES INTERNEXO E.I.R.L.</t>
  </si>
  <si>
    <t>CC NN TICUMPINIA SECTOR TAMAROSHARI</t>
  </si>
  <si>
    <t>MEGANTONI</t>
  </si>
  <si>
    <t xml:space="preserve">NANCY OLARTE ARAÑA </t>
  </si>
  <si>
    <t>136611-057-050618</t>
  </si>
  <si>
    <t>ELMER MELCHOR GAMARRA JAUREGUI</t>
  </si>
  <si>
    <t>JR. FELIPE CASTAÑON S/N CENTRO POBLADO MENOR DE HUANCAPALLAC</t>
  </si>
  <si>
    <t>QUISQUI</t>
  </si>
  <si>
    <t> 55:GASOHOL 97 PLUS</t>
  </si>
  <si>
    <t>117421-057-250516</t>
  </si>
  <si>
    <t>PRESTACION DE SERVICIOS ESPIRITU SANTO SAC</t>
  </si>
  <si>
    <t>ASOCIACION Y VIVIENDA ESPIRITU SANTO, AV INDEPENDENCIA S/N</t>
  </si>
  <si>
    <t>CHIGUATA</t>
  </si>
  <si>
    <t> 110:GASOHOLES,220:DIESEL B5 S-50</t>
  </si>
  <si>
    <t>CARLO SABU VIZCARDO FUENTES</t>
  </si>
  <si>
    <t>103562-057-130613</t>
  </si>
  <si>
    <t>TIMOTEO CHOQUEPATA CHALLCO</t>
  </si>
  <si>
    <t>FUNDO RUSTICO CHALLAPATA CHALLAPAMPA, PARCIALIDAD UMASI</t>
  </si>
  <si>
    <t>UMACHIRI</t>
  </si>
  <si>
    <t>118993-057-111016</t>
  </si>
  <si>
    <t>YOLANDA ERAZO TRILLO</t>
  </si>
  <si>
    <t>AV. 20 DE ENERO S/N</t>
  </si>
  <si>
    <t>ANCO</t>
  </si>
  <si>
    <t>146913-057-221019</t>
  </si>
  <si>
    <t>GIL MEDINA ENRIQUE</t>
  </si>
  <si>
    <t>JR. ALTO SAUCE S/N CASERIO SANTA ROSA DE HUAYALI</t>
  </si>
  <si>
    <t>0001-ARCI-25-2005</t>
  </si>
  <si>
    <t>COMERCIALIZADORA BRANKO E.I.R.L.</t>
  </si>
  <si>
    <t>CAR. FEDERICO BASADRE KM 6 ALTURA CARRETERA AL RADAR A 1.9 KM</t>
  </si>
  <si>
    <t>CALLERIA</t>
  </si>
  <si>
    <t> 495:SIN PRODUCTO</t>
  </si>
  <si>
    <t>BAZAN TERRONES, ROBERTO CARLOS</t>
  </si>
  <si>
    <t>126577-057-210317</t>
  </si>
  <si>
    <t>PEDRO CRUZ MAMANI</t>
  </si>
  <si>
    <t>JR. 28 DE JULIO Y JR. N° 2 LOCALIDAD DE AYRAMPUNI</t>
  </si>
  <si>
    <t>PEDRO VILCA APAZA</t>
  </si>
  <si>
    <t>33467-057-030815</t>
  </si>
  <si>
    <t>WILMAR ELIS SACACHIPANA MEDINA</t>
  </si>
  <si>
    <t>JR. AYACUCHO N° 399 MZ. D LT. 7</t>
  </si>
  <si>
    <t>20995-057-160118</t>
  </si>
  <si>
    <t>EPIFANIA ACROTA DE QUISPE</t>
  </si>
  <si>
    <t>CARRETERA JULIACA-AZANGARO KM. 25 CENTRO POBLADO MATARO CHICO</t>
  </si>
  <si>
    <t>149471-057-230620</t>
  </si>
  <si>
    <t>SERVICIOS GENERALES CHANCOLLA E.I.R.L.</t>
  </si>
  <si>
    <t>CALLE GARCILAZO DE LA VEGA MZ. W LT. 3</t>
  </si>
  <si>
    <t>SAN JUAN DE TARUCANI</t>
  </si>
  <si>
    <t xml:space="preserve">CYNDI MARITZA CHANCOLLA CHANCOLLA </t>
  </si>
  <si>
    <t>135206-057-020418</t>
  </si>
  <si>
    <t>IMBERSIONES JJC EIRL</t>
  </si>
  <si>
    <t>JR MALECON S/N</t>
  </si>
  <si>
    <t>JOSE JOEL CASTAÑEDA SANCHEZ</t>
  </si>
  <si>
    <t>122062-057-201117</t>
  </si>
  <si>
    <t xml:space="preserve">ROBINSON BRAVO RAMOS </t>
  </si>
  <si>
    <t>JR.ELIAS PIBO S/N - BARRIO ROSARIO</t>
  </si>
  <si>
    <t>ROBINSON BRAVO RAMOS</t>
  </si>
  <si>
    <t>115334-057-270815</t>
  </si>
  <si>
    <t>CESAR ENRIQUE SEGURA HERRERA</t>
  </si>
  <si>
    <t>CALLE MIRAFLORES S/N-CONCHAN</t>
  </si>
  <si>
    <t>CONCHAN</t>
  </si>
  <si>
    <t>139653-057-151118</t>
  </si>
  <si>
    <t xml:space="preserve">MICHAEL KEVIN HANCCO QUISPE </t>
  </si>
  <si>
    <t>PARCIALIDAD COLLANA SAN SEBASTIAN CARRETERA TRANSOCEÁNICA CALAPUJA - AZAGARO KM. 2+850</t>
  </si>
  <si>
    <t>CALAPUJA</t>
  </si>
  <si>
    <t>150649-057-230820</t>
  </si>
  <si>
    <t>CASERIO MANCO CAPAC MZ. 4 LT. 02</t>
  </si>
  <si>
    <t>CAMPOVERDE</t>
  </si>
  <si>
    <t> 9075:GASOLINA 90,30250:DIESEL B5</t>
  </si>
  <si>
    <t>86017-057-281015</t>
  </si>
  <si>
    <t xml:space="preserve">VALERIANA OCHOCHOQUE MAMANI </t>
  </si>
  <si>
    <t>AV. PRINCIPAL CENTRO POBLADO MENOR LA RINCONADA</t>
  </si>
  <si>
    <t>21028-057-240713</t>
  </si>
  <si>
    <t>ANTONIO RAMOS MAMANI</t>
  </si>
  <si>
    <t>JR. 7 DE JUNIO N° 072 URB. NUEVO AMANECER HUACCOTO</t>
  </si>
  <si>
    <t>MUNANI</t>
  </si>
  <si>
    <t>95854-057-151119</t>
  </si>
  <si>
    <t xml:space="preserve">TEODOMIRO GREGORIO MATENCIOS CAMPOS </t>
  </si>
  <si>
    <t>SECTOR MISHICURI (AV. RIO ENE S/N), COMUNIDAD NATIVA DE SAN RAMON DE PANGOA</t>
  </si>
  <si>
    <t>PANGOA</t>
  </si>
  <si>
    <t>138730-057-240918</t>
  </si>
  <si>
    <t>CARMEN FLOR GUZMAN ROJAS</t>
  </si>
  <si>
    <t>3,59 % DE PARCELAS 12 Y 13 SECTOR YAMANATE CASERIO HUAYATAN, LAS GUITARRAS CARRETERA TRUJILLO - SANTIAGO DE CHUCO</t>
  </si>
  <si>
    <t>SANTIAGO DE CHUCO</t>
  </si>
  <si>
    <t>122344-057-180716</t>
  </si>
  <si>
    <t>WILDER ESPIRITU LINO</t>
  </si>
  <si>
    <t>JR. PACHITEA S/N (BARRIO SAN JUAN) DE LA LOCALIDAD DE PANAO</t>
  </si>
  <si>
    <t>PANAO</t>
  </si>
  <si>
    <t>17928-057-030313</t>
  </si>
  <si>
    <t xml:space="preserve">TICAHUANCA DE CHAMBI RUMALDA </t>
  </si>
  <si>
    <t>CALLE CUSCO S/N PISACOMA</t>
  </si>
  <si>
    <t>PISACOMA</t>
  </si>
  <si>
    <t> 55:GASOHOL 90 PLUS,55:GASOHOL 84 PLUS</t>
  </si>
  <si>
    <t>TICAHUANCA DE CHAMBI RUMALDA</t>
  </si>
  <si>
    <t>138108-057-220818</t>
  </si>
  <si>
    <t>ADOLFO SONCCO LEQQUE</t>
  </si>
  <si>
    <t>PROLONGACIÓN JR. INAMBARI S/N</t>
  </si>
  <si>
    <t>121489-057-071116</t>
  </si>
  <si>
    <t>INVERSIONES ARICOMA PERU S.A.C.</t>
  </si>
  <si>
    <t>PROLONGACION CALLE CAHUIDE S/N</t>
  </si>
  <si>
    <t>LIMBANI</t>
  </si>
  <si>
    <t>NESTOR FLORES SAAVEDRA</t>
  </si>
  <si>
    <t>0000112-PUN</t>
  </si>
  <si>
    <t>GRIFO RURAL SAN JUAN E.I.R.L.</t>
  </si>
  <si>
    <t>JR. AUGUSTO B. LEGUIA S/N. LOCALIDAD LARAQUERI</t>
  </si>
  <si>
    <t>PICHACANI</t>
  </si>
  <si>
    <t>ZENTENO MAMANI, ANDRES AGAPITO</t>
  </si>
  <si>
    <t>139629-057-141118</t>
  </si>
  <si>
    <t xml:space="preserve">JULIO ARAMBURU MENDOZA </t>
  </si>
  <si>
    <t>URBANIZACION NUEVA FLORIDA S/N</t>
  </si>
  <si>
    <t>134613-057-200220</t>
  </si>
  <si>
    <t xml:space="preserve">NILSER HUAMANI PUMA </t>
  </si>
  <si>
    <t>LOTE 01 MANZANA X ASOCIACIÓN DE VIVIENDA WARARI</t>
  </si>
  <si>
    <t>129085-057-100820</t>
  </si>
  <si>
    <t>MULTISERVICIOS ARMO RU S.A.C.</t>
  </si>
  <si>
    <t>ESQUINA JR. SUCRE CON JR. LOS OLIVOS CARRETERA BELLAVISTA-BARRANCA CENTRO POBLADO BARRANCA</t>
  </si>
  <si>
    <t>ALTO BIAVO</t>
  </si>
  <si>
    <t>RODRIGUEZ USHIÑAHUA ARON</t>
  </si>
  <si>
    <t>149696-057-170620</t>
  </si>
  <si>
    <t xml:space="preserve">HUGO CONTO QUISPE </t>
  </si>
  <si>
    <t>PARCELA 61-A, SECTOR YOMENTONI</t>
  </si>
  <si>
    <t>18466-057-060515</t>
  </si>
  <si>
    <t xml:space="preserve">JACINTO VELASQUEZ CLEMENTE </t>
  </si>
  <si>
    <t>CARRETERA PANAMERICANA SUR KM. 88 PUNO - DESAGUADERO COMUNIDAD CHUCASUYO</t>
  </si>
  <si>
    <t>JULI</t>
  </si>
  <si>
    <t>126575-057-150217</t>
  </si>
  <si>
    <t>CELIA CCAMA HUANACUNI</t>
  </si>
  <si>
    <t>ASOCIACIÓN AGROPECUARIA VIRGEN DEL CARMEN MZ. A LOTE 3, SECTOR PROTER</t>
  </si>
  <si>
    <t>128672-057-050617</t>
  </si>
  <si>
    <t>AMILCAR BOZA DIAZ</t>
  </si>
  <si>
    <t xml:space="preserve">CARRETERA CHAMACA - SANTO TOMAS, SECTOR DE CCONCHOPATA </t>
  </si>
  <si>
    <t>CHAMACA</t>
  </si>
  <si>
    <t>107467-057-050819</t>
  </si>
  <si>
    <t>AMELIA VALDIVIA GUARDIA</t>
  </si>
  <si>
    <t>CARRETERA PRINCIPAL N°2714 CENTRO POBLADO DE CACHICOTO</t>
  </si>
  <si>
    <t>112698-057-150515</t>
  </si>
  <si>
    <t>RUBEN CHAVEZ CHAVEZ</t>
  </si>
  <si>
    <t>PROLONGACION AV. SAN MARTIN S/N CARRETERA A NUEVO ORIENTE</t>
  </si>
  <si>
    <t>SAN FERNANDO</t>
  </si>
  <si>
    <t> 55:GASOLINA 90,55:DIESEL B5,55:GASOLINA 84</t>
  </si>
  <si>
    <t>36446-057-080118</t>
  </si>
  <si>
    <t>JUSTINO HUACOTO QUISPE</t>
  </si>
  <si>
    <t>CENTRO POBLADO DE HUANUTUYO AV. TRANSOCEANICA S/N</t>
  </si>
  <si>
    <t>0001-ARCI-16-2004</t>
  </si>
  <si>
    <t>MIGUEL ANGEL MELENDEZ TELLO</t>
  </si>
  <si>
    <t>MZ. 12 LT. 06 CALLE 28 DE JULIO S/N - SAN ANTONIO ESTRECHO</t>
  </si>
  <si>
    <t>PUTUMAYO</t>
  </si>
  <si>
    <t> 550:DIESEL 2</t>
  </si>
  <si>
    <t>MELENDEZ TELLO, MIGUEL ANGEL</t>
  </si>
  <si>
    <t>0062-ARCI-21-2001</t>
  </si>
  <si>
    <t>GRIMALDA CALCINA VDA. DE LUQUE</t>
  </si>
  <si>
    <t>CARRETERA DE AZANGARO AL CENTRO POBLADO HANAJQUIA KM. 17</t>
  </si>
  <si>
    <t>CALCINA CCUNO VDA. DE LUQUE, GRIMALDA</t>
  </si>
  <si>
    <t>64256-057-160118</t>
  </si>
  <si>
    <t>BACILIA HUANCA QUISPE</t>
  </si>
  <si>
    <t>CARRETERA PANAMERICANA KM 54. JULIACA - AREQUIPA</t>
  </si>
  <si>
    <t>19995-057-200313</t>
  </si>
  <si>
    <t>ELMER MANUEL MONTALVAN VILLACORTA</t>
  </si>
  <si>
    <t>JR. HUALLAGA 1RA CUADRA - CENTRO POBLADO SAN LORENZO</t>
  </si>
  <si>
    <t>64354-057-080118</t>
  </si>
  <si>
    <t>IVAN HENRY PARI COLQUEHUANCA</t>
  </si>
  <si>
    <t>JR. LOS ANGELES S/N - CARRETERA HUATA - COATA</t>
  </si>
  <si>
    <t>HUATA</t>
  </si>
  <si>
    <t>83482-057-160118</t>
  </si>
  <si>
    <t>FLORENTINO LIPA SACACA</t>
  </si>
  <si>
    <t>AV. PROGRESO CON JR. UNION Nº 2902 ASOCIACION PRO VIVIENDA BELEN</t>
  </si>
  <si>
    <t>PUTINA</t>
  </si>
  <si>
    <t xml:space="preserve">LIPA SACACA FLORENTINO </t>
  </si>
  <si>
    <t>107835-057-250620</t>
  </si>
  <si>
    <t>JORGE ALBERTO SINTI TENAZOA</t>
  </si>
  <si>
    <t>CRUCE AV. TACNA Y JR. PERU CENTRO POBLADO NUEVO MUNDO</t>
  </si>
  <si>
    <t>116977-057-080318</t>
  </si>
  <si>
    <t>VICENTE RAUL CHURATA PHOCCO</t>
  </si>
  <si>
    <t>AV. INAMBARI S/N CARRETERA TAYACCUCHO-AJOYANI KM 30+00</t>
  </si>
  <si>
    <t>ITUATA</t>
  </si>
  <si>
    <t>139839-057-271118</t>
  </si>
  <si>
    <t>ESTANQUILLO GAONA S.A.C</t>
  </si>
  <si>
    <t>JR. SAN MARTIN S/N</t>
  </si>
  <si>
    <t>MARISCAL CACERES</t>
  </si>
  <si>
    <t>CAMPANILLA</t>
  </si>
  <si>
    <t>JOSÉ ANIBAL GAONA BECERRA</t>
  </si>
  <si>
    <t>114117-057-250315</t>
  </si>
  <si>
    <t>FIDEL TARAZONA MODESTO</t>
  </si>
  <si>
    <t>CARRETERA CENTRAL HUANUCO - LA UNION ALTURA KM. 84 C.P. DE COLQUILLAS</t>
  </si>
  <si>
    <t>119167-057-280417</t>
  </si>
  <si>
    <t>OSCAR HUERTAS NIETO</t>
  </si>
  <si>
    <t>JR. BUENOS AIRES S/N MZ. A LTE. 16 SECTOR VILLA TRANCA</t>
  </si>
  <si>
    <t>SAN PABLO DE PILLAO</t>
  </si>
  <si>
    <t>148221-057-121219</t>
  </si>
  <si>
    <t>VARGAS VILLAFRANCA ZACARIAS VIDAL</t>
  </si>
  <si>
    <t>CENTRO POBLADO MUSHO, CASERIO APA</t>
  </si>
  <si>
    <t>21685-057-090716</t>
  </si>
  <si>
    <t>SAMUEL HUAMANRAYME QUISPE</t>
  </si>
  <si>
    <t>CALLE CLORINDA MATTO DE TURNER S/N</t>
  </si>
  <si>
    <t>118047-057-100216</t>
  </si>
  <si>
    <t>DALILA ANGELICA SANGAMA TAPULLIMA</t>
  </si>
  <si>
    <t>CARRETERA FERNANDO BELAUNDE TERRY S/N CENTRO POBLADO NUEVO BAMBAMARCA</t>
  </si>
  <si>
    <t>145432-057-260719</t>
  </si>
  <si>
    <t>LUSIVET MINGA ALBERCA</t>
  </si>
  <si>
    <t xml:space="preserve">AV. SAN IGNACIO S/N C.P. PUERTO TAMBORAPA </t>
  </si>
  <si>
    <t> 55:GASOHOL 84 PLUS,110:GASOHOL 90 PLUS,165:Diesel B5 S-50</t>
  </si>
  <si>
    <t>97104-057-030313</t>
  </si>
  <si>
    <t xml:space="preserve">SUCATICONA QUISPE NORIA </t>
  </si>
  <si>
    <t>PROLONGACION AV. LAS ROSAS S/N</t>
  </si>
  <si>
    <t>YANAHUAYA</t>
  </si>
  <si>
    <t>0001-ARCI-16-2005</t>
  </si>
  <si>
    <t>NEGOCIOS Y SERVICIOS GENERALES EMERSON E.I.R.L.</t>
  </si>
  <si>
    <t>MALECON MARAÑON CALLE LORETO CPM SAN LORENZO</t>
  </si>
  <si>
    <t> 385:DIESEL B2</t>
  </si>
  <si>
    <t>GARCIA RAMOS, JESUS LAMEC</t>
  </si>
  <si>
    <t>140483-057-211218</t>
  </si>
  <si>
    <t xml:space="preserve">HONORATE OLIVO CANDELARIA CATALINA </t>
  </si>
  <si>
    <t>CENTRO POBLADO DE YURMA ( GRIFO OLIVO )</t>
  </si>
  <si>
    <t>MARISCAL LUZURIAGA</t>
  </si>
  <si>
    <t>LLUMPA</t>
  </si>
  <si>
    <t> 165:GASOHOL 90 PLUS,165:Diesel B5 S-50</t>
  </si>
  <si>
    <t>CANDELARIA CATALINA HONORATE OLIVO</t>
  </si>
  <si>
    <t>21155-057-231015</t>
  </si>
  <si>
    <t>SERVICENTRO SAN ANTONIO E.I.R.L</t>
  </si>
  <si>
    <t>ANTONIO CARTAJENA CONDORI</t>
  </si>
  <si>
    <t>34322-057-100413</t>
  </si>
  <si>
    <t>FRANCISCA QUISPE LAZARINOS</t>
  </si>
  <si>
    <t>CARRETERA AFIRMADA A CCOTOS COMUNIDAD DE SIALE</t>
  </si>
  <si>
    <t>CAPACHICA</t>
  </si>
  <si>
    <t>136140-057-130518</t>
  </si>
  <si>
    <t>LUIS RIMARACHIN CARRANZA</t>
  </si>
  <si>
    <t>CARRETERA A PACHIZA S/N (SALIDA DE HICUNGO A PACHIZA)</t>
  </si>
  <si>
    <t>HUICUNGO</t>
  </si>
  <si>
    <t>17937-057-120313</t>
  </si>
  <si>
    <t>JUANA CALDERON LOMA</t>
  </si>
  <si>
    <t>CENTRO POBLADO MENOR SANQUIRA CARRETERA YUNGUYO - COPANI, KM 10</t>
  </si>
  <si>
    <t>122343-057-230916</t>
  </si>
  <si>
    <t>ROGER CHUZON CRISANTO</t>
  </si>
  <si>
    <t>CARRETERA FERNANDO BELAUNDE TERRY KM. 60+724 (ANTIGUO CASERIO NUEVO HUALAPAMPA C.P. LIMON DE PORCUYA)</t>
  </si>
  <si>
    <t>0041-ARCI-21-2001</t>
  </si>
  <si>
    <t>GUILLERMINA CHAMBI ILACOPA</t>
  </si>
  <si>
    <t>JR. TRUJILLO N° 256 - LOCALIDAD DE MAZOCRUZ</t>
  </si>
  <si>
    <t>SANTA ROSA</t>
  </si>
  <si>
    <t>CHAMBI ILACOPA, GULLERMINA</t>
  </si>
  <si>
    <t>0012-ARCI-21-2001</t>
  </si>
  <si>
    <t xml:space="preserve">FRIDA MOROCCO QUISPE </t>
  </si>
  <si>
    <t xml:space="preserve">CALLE SAN GERMAN N° 219 </t>
  </si>
  <si>
    <t> 55:GASOLINAS PARA USO AUTOMOTOR</t>
  </si>
  <si>
    <t>MOROCCO QUISPE, FRIDA</t>
  </si>
  <si>
    <t>86014-057-191217</t>
  </si>
  <si>
    <t>TOMASA QUISPE MAMANI</t>
  </si>
  <si>
    <t>CALLE BOLIVAR S/N</t>
  </si>
  <si>
    <t>0008-ARCI-21-2005</t>
  </si>
  <si>
    <t>MAXIMO ALMANZA CARITA</t>
  </si>
  <si>
    <t>CENTRO POBLADO DE YOROHOCO</t>
  </si>
  <si>
    <t>ALMANZA CARITA, MAXIMO</t>
  </si>
  <si>
    <t>134048-057-120319</t>
  </si>
  <si>
    <t>YOLANDA TAPARA CAHUANA</t>
  </si>
  <si>
    <t xml:space="preserve">JR. QUETY S/N, CENTRO POBLADO DE ITUATA. </t>
  </si>
  <si>
    <t>96159-057-281217</t>
  </si>
  <si>
    <t>ALBERTO ANIBAL CABANILLAS GONZALES</t>
  </si>
  <si>
    <t>MZ. 57 LOTE Nº 04, CENTRO POBLADO VILLA PACANGA</t>
  </si>
  <si>
    <t>CHEPEN</t>
  </si>
  <si>
    <t>PACANGA</t>
  </si>
  <si>
    <t> 3025:GASOHOL 84 PLUS</t>
  </si>
  <si>
    <t> 3025:Diesel B5 S-50</t>
  </si>
  <si>
    <t> 3025:GASOHOL 90 PLUS</t>
  </si>
  <si>
    <t>106312-057-300415</t>
  </si>
  <si>
    <t>PEDRO NOLASCO POLINAR</t>
  </si>
  <si>
    <t>CARRETERA PANAO S/N 0.5 KM. BARRIO LOS ULCUMANOS</t>
  </si>
  <si>
    <t>18809-057-090112</t>
  </si>
  <si>
    <t>ROSARIO GUADALUPE PAUCARA BENAVENTE</t>
  </si>
  <si>
    <t>JR. AREQUIPA S/N. SALIDA A MAÑAZO</t>
  </si>
  <si>
    <t>40929-057-030313</t>
  </si>
  <si>
    <t>LUCINA EDILTRUDIS HUARICCALLO MENDOZA</t>
  </si>
  <si>
    <t>JR. SAN ROMAN CON COLOMBIA. MZ. A LOTE 5 C.P.M. LA RINCONADA</t>
  </si>
  <si>
    <t>110297-057-140319</t>
  </si>
  <si>
    <t>AURELIA PAULINA PAREDES LUNA</t>
  </si>
  <si>
    <t>CASERIO GOYMA LOS MILAGROS</t>
  </si>
  <si>
    <t>CHURUBAMBA</t>
  </si>
  <si>
    <t>97967-057-060114</t>
  </si>
  <si>
    <t>GRIFO RURAL LUCHO SOCIEDAD COMERCIAL DE RESPONSABILIDAD LIMITADA</t>
  </si>
  <si>
    <t>LUGAR RUSTICO CHACA CHACA PUNCO- CENTRO POBLADO BUENA VISTA CHACA CHACA, CARRETERA PANAMERICANA SUR PUNO-DESAGUADERO KM. 1470</t>
  </si>
  <si>
    <t>LUCIANO ILLACUTIPA PEREZ</t>
  </si>
  <si>
    <t>20030-057-030313</t>
  </si>
  <si>
    <t xml:space="preserve">TICONA MAMANI EUSEBIO </t>
  </si>
  <si>
    <t>JR. HORTENCIA ARANA S/N.</t>
  </si>
  <si>
    <t>92727-057-070213</t>
  </si>
  <si>
    <t>ANTENOR CHUQUIZUTA CHUQUIZUTA</t>
  </si>
  <si>
    <t xml:space="preserve">AV. BLAS VALERA S/N </t>
  </si>
  <si>
    <t>LUYA</t>
  </si>
  <si>
    <t>LAMUD</t>
  </si>
  <si>
    <t>136029-057-261118</t>
  </si>
  <si>
    <t>VALINTIN MOISES MUÑOZ CARRANZA</t>
  </si>
  <si>
    <t>CARRETERA CHACAS – ACOCHACA KM 195</t>
  </si>
  <si>
    <t>ACOCHACA</t>
  </si>
  <si>
    <t>138590-057-190918</t>
  </si>
  <si>
    <t>ROBERTO LARINO TUCO</t>
  </si>
  <si>
    <t>CARRETERA BINACIONAL ILO - DESAGUADERO: MAZOCRUZ</t>
  </si>
  <si>
    <t>117243-057-041115</t>
  </si>
  <si>
    <t>NANCY LOUDES SALAS COTRINA</t>
  </si>
  <si>
    <t>JR. VIRGEN DE FATIMA S/N</t>
  </si>
  <si>
    <t>CHAVINILLO</t>
  </si>
  <si>
    <t>0001-ARCI-10-2006</t>
  </si>
  <si>
    <t>ANGEL CUSTODIO PAREDES LUNA</t>
  </si>
  <si>
    <t>KM 427+380 CARRET HUÁNUCO-TINGO MARIA CPM SAN JOSE DE CHULLQ</t>
  </si>
  <si>
    <t>PAREDES LUNA, ANGEL CUSTODIO</t>
  </si>
  <si>
    <t>45108-057-071213</t>
  </si>
  <si>
    <t>LATIMER VILLACORTA BOCANEGRA</t>
  </si>
  <si>
    <t>JR. SAN MARTIN S/N 3RA. CUADRA - SAN MARTIN DE ALAO</t>
  </si>
  <si>
    <t>EL DORADO</t>
  </si>
  <si>
    <t> 3025:DIESEL B5</t>
  </si>
  <si>
    <t>113944-057-030715</t>
  </si>
  <si>
    <t>NILDA JESUS MENDOZA LOPEZ</t>
  </si>
  <si>
    <t>AV. AMAZONAS S/N</t>
  </si>
  <si>
    <t>MOLINOPAMPA</t>
  </si>
  <si>
    <t>137288-057-060718</t>
  </si>
  <si>
    <t xml:space="preserve">SONIA GRAJEDA MEZA </t>
  </si>
  <si>
    <t>PREDIO RUSTICO HUININQUIRI DESVIO CHUQUICAHUANA - PUENTE</t>
  </si>
  <si>
    <t>CANCHIS</t>
  </si>
  <si>
    <t>CHECACUPE</t>
  </si>
  <si>
    <t>140244-057-101218</t>
  </si>
  <si>
    <t xml:space="preserve">ADRIEL MENA LOZANO </t>
  </si>
  <si>
    <t xml:space="preserve">SAN LORENZO JOSE CARLOS MARIATEGUI N° I-08 </t>
  </si>
  <si>
    <t>OCOBAMBA</t>
  </si>
  <si>
    <t>131722-057-040918</t>
  </si>
  <si>
    <t>SERVICIOS GENERALES GEORGINA S.R.L.</t>
  </si>
  <si>
    <t>CARRETERA COSTANERA KM 69 S/N MORRO SAMA</t>
  </si>
  <si>
    <t>SAMA</t>
  </si>
  <si>
    <t>SILVIA ELIZABETH TOLEDO DE DILL'ERVA</t>
  </si>
  <si>
    <t>0007-ARCI-21-2003</t>
  </si>
  <si>
    <t>JOSE ENRIQUE QUENALLATA QUISPE</t>
  </si>
  <si>
    <t>ESQ. JR. SAN MARTIN CON AV. LUNAR DE ORO MZ. E LT. 5 BARRIO SAN FRANCISCO</t>
  </si>
  <si>
    <t>QUENALLATA QUISPE, JOSE ENRIQUE</t>
  </si>
  <si>
    <t>145254-057-150719</t>
  </si>
  <si>
    <t>RUIZ RODRIGUEZ AMELIA</t>
  </si>
  <si>
    <t>ESQUINA JIRON MARGINAL CON JIRON MISTER MARIN, CENTRO POBLADO DE HUAÑIPO</t>
  </si>
  <si>
    <t> 330:DIESEL B5</t>
  </si>
  <si>
    <t>0000003-PAS</t>
  </si>
  <si>
    <t>HELMER PRUDENCIO RAMOS</t>
  </si>
  <si>
    <t>JR. LIBERTAD S/N</t>
  </si>
  <si>
    <t>CHACAYAN</t>
  </si>
  <si>
    <t>PRUDENCIO RAMOS, HELMER</t>
  </si>
  <si>
    <t>148753-057-200120</t>
  </si>
  <si>
    <t>COMBUSTIBLES PERUANOS G3 S.A.C.</t>
  </si>
  <si>
    <t>AV. VICTOR JULIO ROSELL N° 408 - CASERIO DE CARRAPALDAY ALTO</t>
  </si>
  <si>
    <t>JULCAN</t>
  </si>
  <si>
    <t>GIANCARLO KELVI GUTIERREZ CHAVEZ</t>
  </si>
  <si>
    <t>18447-057-300819</t>
  </si>
  <si>
    <t>SILVIA TACZA NAVARRO</t>
  </si>
  <si>
    <t>CARRETERA SATIPO - COVIRIALI KM. 1</t>
  </si>
  <si>
    <t>COVIRIALI</t>
  </si>
  <si>
    <t>18853-057-250718</t>
  </si>
  <si>
    <t xml:space="preserve">JULIAN QUISPE CATY </t>
  </si>
  <si>
    <t>AV. SILLUSTANI S/N</t>
  </si>
  <si>
    <t>ATUNCOLLA</t>
  </si>
  <si>
    <t> 9075:GASOHOL 84 PLUS,30250:Diesel B5 S-50</t>
  </si>
  <si>
    <t>134532-057-020418</t>
  </si>
  <si>
    <t>NOEL NIETO BRAVO</t>
  </si>
  <si>
    <t>CALLE SIN NOMBRE LT. 40 CASERÍO CULLUCHACA</t>
  </si>
  <si>
    <t>136500-057-230720</t>
  </si>
  <si>
    <t>BIONICA GERSEYT CARTAGENA</t>
  </si>
  <si>
    <t>JR. BOLOGNESI C-8</t>
  </si>
  <si>
    <t> 55:GASOLINA 84,110:GASOLINA 90,275:Diesel B5 S-50</t>
  </si>
  <si>
    <t>137281-057-080718</t>
  </si>
  <si>
    <t>COMERCIAL FLOR MARIA DEL PILAR E.I.R.L</t>
  </si>
  <si>
    <t>AV. 28 DE JULIO</t>
  </si>
  <si>
    <t>FLORMIRA DEXTRE VILLAREAL</t>
  </si>
  <si>
    <t>0000155-PUN</t>
  </si>
  <si>
    <t>MARIANO TICONA LLANQUE</t>
  </si>
  <si>
    <t>AV. PERU S/N. BARRIO 2 DE FEBRERO VILLA CHIPANA KM. 11.5</t>
  </si>
  <si>
    <t>TICONA LLANQUE, MARIANO</t>
  </si>
  <si>
    <t>118440-057-060416</t>
  </si>
  <si>
    <t>LUBRISUR EL SALVADOR E.I.R.L.</t>
  </si>
  <si>
    <t>PROLONGACIÓN CALLE TACNA S/N</t>
  </si>
  <si>
    <t>CANDARAVE</t>
  </si>
  <si>
    <t>MELIANA MELCHORA VIDAL FLORES</t>
  </si>
  <si>
    <t>134419-057-140218</t>
  </si>
  <si>
    <t>CELESTINO ABRAHAM TICSE CASAÑA</t>
  </si>
  <si>
    <t>CARRETERA CENTRAL HUANUCO - LIMA KM. 6.5 CENTRO POBLADO SANTA ROSA DE PITUMAMA</t>
  </si>
  <si>
    <t>PILLCO MARCA</t>
  </si>
  <si>
    <t>145305-057-050819</t>
  </si>
  <si>
    <t>YLBIA AZONIA ZAVALA PEREZ</t>
  </si>
  <si>
    <t>LT.09, MZ. A, CASERIO HUYATAN</t>
  </si>
  <si>
    <t>82624-057-051011</t>
  </si>
  <si>
    <t>MARTHA COLQUE COLQUE</t>
  </si>
  <si>
    <t>CARRETERA JULIACA - AREQUIPA CON PANAMERICANA S/N - URB. TUPAC AMRU</t>
  </si>
  <si>
    <t>91106-057-2011</t>
  </si>
  <si>
    <t>LUIS VILLAR QUISPE</t>
  </si>
  <si>
    <t>KM. 4 MARGEN IZQUIERDA DE LA CARRETERA FERNANDO BELAUNDE TERRY, CENTRO POBLADO ALEXANDER VON HUMBOLDT (REF. CARRET. FEDERICO BASADRE KM. 86)</t>
  </si>
  <si>
    <t>IRAZOLA</t>
  </si>
  <si>
    <t>LEONCIO DE LA CRUZ PEREZ</t>
  </si>
  <si>
    <t>121219-057-020217</t>
  </si>
  <si>
    <t>LUIS CEFERINO SALINAS MORI</t>
  </si>
  <si>
    <t>JIRON CHACHAPOYAS S/N CONVENTO BARRIO PACHACHIN</t>
  </si>
  <si>
    <t>POMABAMBA</t>
  </si>
  <si>
    <t> 55:GASOHOL 90 PLUS,275:DIESEL B5 S-50</t>
  </si>
  <si>
    <t>116539-057-091115</t>
  </si>
  <si>
    <t>SAMUEL VEGA SANTOS</t>
  </si>
  <si>
    <t>AV. ESPAÑA S/N MZ 04 LOTE 02</t>
  </si>
  <si>
    <t>UCHIZA</t>
  </si>
  <si>
    <t>21021-057-030313</t>
  </si>
  <si>
    <t>IRMA QUISPE LOPEZ</t>
  </si>
  <si>
    <t>AV. BRASIL N° 120, CENTRO POBLADO CARLOS GUTIERREZ</t>
  </si>
  <si>
    <t>POTONI</t>
  </si>
  <si>
    <t>140243-057-101218</t>
  </si>
  <si>
    <t xml:space="preserve">DAYVIS FRANCIS TORRES CRUZ </t>
  </si>
  <si>
    <t>CARRETERA PAUCARTAMBO- SIHUAYPAMPA, SECTOR PUMAQ CHUPAN S/N</t>
  </si>
  <si>
    <t>83238-057-2011</t>
  </si>
  <si>
    <t>VICENTE TAPARA CARRASCO</t>
  </si>
  <si>
    <t>AV. CENTENARIO S/N</t>
  </si>
  <si>
    <t> 55:GASOLINA 84,55:DIESEL B5,55:GASOLINA 84</t>
  </si>
  <si>
    <t> 55:DIESEL B5,55:GASOLINA 84</t>
  </si>
  <si>
    <t>18285-057-2011</t>
  </si>
  <si>
    <t xml:space="preserve">BARBARA QUISPE DE APAZA </t>
  </si>
  <si>
    <t xml:space="preserve">CALLE TAMBOPATA S/N. </t>
  </si>
  <si>
    <t>VILQUE CHICO</t>
  </si>
  <si>
    <t> 55:DIESEL B5,55:DIESEL B5,55:DIESEL B5,55:GASOLINA 84,55:DIESEL B5,55:DIESEL B5,55:DIESEL B5,55:GASOLINA 84</t>
  </si>
  <si>
    <t>BARBARA QUISPE DE APAZA</t>
  </si>
  <si>
    <t>33178-057-211217</t>
  </si>
  <si>
    <t>VICTORIANO BELIZARIO AVILA</t>
  </si>
  <si>
    <t>CARRETERA COATA - CAPACHICA KM. 19 CENTRO POBLADO ALMOSANCHE</t>
  </si>
  <si>
    <t>130532-057-050917</t>
  </si>
  <si>
    <t>DANTE DANIEL ALBURQUEQUE ZAPATA</t>
  </si>
  <si>
    <t>CARRETERA PANAMERICANA NORTE ALTURA KM 1273-SECTOR PUERTO EL CURA</t>
  </si>
  <si>
    <t>TUMBES</t>
  </si>
  <si>
    <t>JOSE LUJAN ESPINOZA</t>
  </si>
  <si>
    <t>AV. TUPAC AMARU S/N</t>
  </si>
  <si>
    <t>CACHICADAN</t>
  </si>
  <si>
    <t>LUJAN ESPINOZA, ROMAN JOSE</t>
  </si>
  <si>
    <t>0009-GRRU-16-2006</t>
  </si>
  <si>
    <t>CESAR IBAÑEZ RUIZ</t>
  </si>
  <si>
    <t>CARRETERA YURIMAGUAS - TARAPOTO KM 3.70</t>
  </si>
  <si>
    <t>IBAÑEZ RUIZ, CESAR</t>
  </si>
  <si>
    <t>108973-057-211217</t>
  </si>
  <si>
    <t>EPIFANIO ELOY PEREZ CCANCCAPA</t>
  </si>
  <si>
    <t xml:space="preserve">PROLONGACIÓN GRAU - CHULLOPAMPA </t>
  </si>
  <si>
    <t>90736-057-211217</t>
  </si>
  <si>
    <t xml:space="preserve">BLANCO QUISPE ADOLFO </t>
  </si>
  <si>
    <t>AV. PUNO S/N CENTRO POBLADO DE ALMOZANCHE</t>
  </si>
  <si>
    <t>128298-057-120218</t>
  </si>
  <si>
    <t>NARCISO DIAZ NUÑEZ</t>
  </si>
  <si>
    <t>MALECON MARAÑON MZ. 14 LT. 16</t>
  </si>
  <si>
    <t>17935-057-071116</t>
  </si>
  <si>
    <t>YONY CONDORI ANCACHI</t>
  </si>
  <si>
    <t>CARRETERA YUNGUYO - COPANI KM 05 +045 COMUNIDAD CAMPESINA COPAPUJO - CHINUMANI</t>
  </si>
  <si>
    <t>0005-ARCI-21-2006</t>
  </si>
  <si>
    <t>SERGIO HUARACHA RAMOS</t>
  </si>
  <si>
    <t>CARRETERA PUNO - MOQUEGUA KM. 56 + 145 COMUNIDAD DE LORIPONGO S/N</t>
  </si>
  <si>
    <t>HUARACHA RAMOS, SERGIO</t>
  </si>
  <si>
    <t>128299-057-100918</t>
  </si>
  <si>
    <t>SANTOS NARCIZO PALOMINO BALLENA</t>
  </si>
  <si>
    <t>CARRETERA SAN LORENZO - MIRAFLORES KM 3.00</t>
  </si>
  <si>
    <t>0003-ARCI-22-2002</t>
  </si>
  <si>
    <t>MEDINA RENGIFO AUGUSTO</t>
  </si>
  <si>
    <t>CARRETERA MARGINAL - TARAPÓTO - YURIMAGUAS KM 60</t>
  </si>
  <si>
    <t> 1100:DIESEL 2</t>
  </si>
  <si>
    <t>MEDINA RENGIFO, AUGUSTO</t>
  </si>
  <si>
    <t>0005-ARCI-22-2001</t>
  </si>
  <si>
    <t xml:space="preserve">GUILLERMO FLORES CRUZ </t>
  </si>
  <si>
    <t>AV. SAN MARTIN S/N CARRETERA MARGINAL KM. 95 C.P.M. LIMON</t>
  </si>
  <si>
    <t>FLORES CRUZ, GUILLERMO</t>
  </si>
  <si>
    <t>150770-057-030920</t>
  </si>
  <si>
    <t>JR. UNION MZ. 22 LT. 05 DEL CASERIO NUEVO PIURA</t>
  </si>
  <si>
    <t>18793-057-240811</t>
  </si>
  <si>
    <t>LUCIO EDWIN VILCAPAZA QUISPE</t>
  </si>
  <si>
    <t>JR. PROGRESO S/N. URB. PEDRO VILCAPAZA CENTRO POBLADO MENOR SAN ISIDRO</t>
  </si>
  <si>
    <t> 55:GASOLINA 84,55:DIESEL B5</t>
  </si>
  <si>
    <t>18806-057-250614</t>
  </si>
  <si>
    <t xml:space="preserve">ANGELA CCALLO DE MERMA </t>
  </si>
  <si>
    <t>AV. PRINCIPAL 5 DE SETIEMBRE, BARRIO SANTA BARBARA, CENTRO POBLADO MENOR C. LUNAR</t>
  </si>
  <si>
    <t>86572-057-090218</t>
  </si>
  <si>
    <t>JESUS DIOCELINE ALMANZA LINARES</t>
  </si>
  <si>
    <t>CARRETERA PANAMERICANA SUR KM. 1263+300 TOMASIRI</t>
  </si>
  <si>
    <t> 57:DIESEL B2,57:GASOLINA 84,550:Diesel B5 S-50</t>
  </si>
  <si>
    <t> 55:GASOHOL 84 PLUS,57:DIESEL B2</t>
  </si>
  <si>
    <t> 57:DIESEL B2,110:GASOHOL 90 PLUS</t>
  </si>
  <si>
    <t> 57:DIESEL B2</t>
  </si>
  <si>
    <t>148028-057-271119</t>
  </si>
  <si>
    <t>HUISA CJULA RUDECINDO</t>
  </si>
  <si>
    <t>VIA QUIÑOTA LLUSCO S/N</t>
  </si>
  <si>
    <t>QUIÑOTA</t>
  </si>
  <si>
    <t>141124-057-050219</t>
  </si>
  <si>
    <t>LUDWIG DAVID ARCE CCACCATA</t>
  </si>
  <si>
    <t>CARRETERA TACNA-TARATA, SECTOR SACHAJAÑA KM. 85+990</t>
  </si>
  <si>
    <t>TARATA</t>
  </si>
  <si>
    <t>133873-057-120118</t>
  </si>
  <si>
    <t>REYNA RODRIGUEZ POMA</t>
  </si>
  <si>
    <t>JR. 17 DE MARZO MZ:E-3 LT:04</t>
  </si>
  <si>
    <t>IPARIA</t>
  </si>
  <si>
    <t>107480-057-181217</t>
  </si>
  <si>
    <t>FELICIANO SUMERENTE CURO</t>
  </si>
  <si>
    <t>PARCIALIDAD DE COLLANI CARRETERA CARACOTO - HUATA.</t>
  </si>
  <si>
    <t>20037-057-030913</t>
  </si>
  <si>
    <t>ELAINE DYAN PAZ ARAUJO</t>
  </si>
  <si>
    <t>CALLE BELLAVISTA S/N.</t>
  </si>
  <si>
    <t>111600-057-171014</t>
  </si>
  <si>
    <t>JAIME MARINO MEJIA BURGA</t>
  </si>
  <si>
    <t>LOTE 53 DE LA MZ 18 CENTRO POBLADO CHOTA SECTOR 3</t>
  </si>
  <si>
    <t>0011-ARCI-21-2002</t>
  </si>
  <si>
    <t>ELENA LUPACA JARECCA</t>
  </si>
  <si>
    <t>CENTRO POBLADO MENOR ULLACACHI KM. 18 CARRETERA ILAVE-TOTORANI</t>
  </si>
  <si>
    <t> 220:DIESEL B2</t>
  </si>
  <si>
    <t>LUPACA JARECCA, ELENA</t>
  </si>
  <si>
    <t>0004-ARCI-22-2002</t>
  </si>
  <si>
    <t>JORGE PINEDO SILVA</t>
  </si>
  <si>
    <t>JR. ATAHUALPA S/N - CUADRA 4 SECTOR ATAHUALPA</t>
  </si>
  <si>
    <t>PINEDO SILVA, JORGE</t>
  </si>
  <si>
    <t>145242-057-150719</t>
  </si>
  <si>
    <t>SANTOS PEDRO CASTRO GARCIA</t>
  </si>
  <si>
    <t>COSTADO ESTADIO, SECTOR LOS PALOS, CARRETERA TACNA-LOS PALOS, ALTURA KM 15</t>
  </si>
  <si>
    <t>LA YARADA LOS PALOS</t>
  </si>
  <si>
    <t> 385:Diesel B5 S-50</t>
  </si>
  <si>
    <t>17929-057-030313</t>
  </si>
  <si>
    <t>LUZ MARINA CAJSI CAXI</t>
  </si>
  <si>
    <t>CARRETERA CHASQUI - CACHIPUCARA KM. 4.50</t>
  </si>
  <si>
    <t>151254-057-160920</t>
  </si>
  <si>
    <t>CARI MAMANI GABRIEL ROLANDO</t>
  </si>
  <si>
    <t>ESQUINA JR. COACHICO Y JR. CABANILLA MZ. N-2, LT.1 ASOCIACION PRO VIVIENDA PUENTE COLONIAL</t>
  </si>
  <si>
    <t>18480-057-250313</t>
  </si>
  <si>
    <t>JUAN NINA QUISPE</t>
  </si>
  <si>
    <t>CARRETERA PANAMERICANA KM. 23 COPANI - YUNGUYO</t>
  </si>
  <si>
    <t>120533-057-181217</t>
  </si>
  <si>
    <t>CELSO ADRIAN YANA YANQUI</t>
  </si>
  <si>
    <t>PREDIO RUSTICO CHINCAWARU CHEJOLLANI, COMUNIDAD CAMPESINA DE CANCHI CHICO SECTOR ISLA</t>
  </si>
  <si>
    <t>CARACOTO</t>
  </si>
  <si>
    <t>33330-057-160714</t>
  </si>
  <si>
    <t>HERMINIO CARLOS CHUCUYA MAQUERA</t>
  </si>
  <si>
    <t>COMUNIDAD CAMPESINA TUNI GRANDE KM. 41 CARRETERA JULIACA - HUANCANE</t>
  </si>
  <si>
    <t>125060-057-160719</t>
  </si>
  <si>
    <t>ROMAN DANIEL FERNANDEZ GUILLEN</t>
  </si>
  <si>
    <t>AV. CENTENARIO S/N CUADRO 09</t>
  </si>
  <si>
    <t> 110:GASOHOL 90 PLUS,220:Diesel B5 S-50</t>
  </si>
  <si>
    <t>93713-057-010911</t>
  </si>
  <si>
    <t>CASTOL LIMAY VENTURA</t>
  </si>
  <si>
    <t>CARRETERA CHACHAPOYAS CACLIC-LUYA KM 10+500</t>
  </si>
  <si>
    <t> 171:GASOLINA 84</t>
  </si>
  <si>
    <t> 399:DIESEL B5</t>
  </si>
  <si>
    <t>20038-057-300513</t>
  </si>
  <si>
    <t>TOMASA RAMOS TURPO</t>
  </si>
  <si>
    <t>JR. INCA N° 110</t>
  </si>
  <si>
    <t>138556-057-110918</t>
  </si>
  <si>
    <t>YESSICA INES TORRES LEON</t>
  </si>
  <si>
    <t>VIA DE EVITAMIENTO, SECTOR LUPAJA-CHOJA CHICO, PUEBLO TRADICIONAL DE TARATA-TACNA</t>
  </si>
  <si>
    <t>0030-ARCI-21-2001</t>
  </si>
  <si>
    <t>ESTEBAN QUISPE QUISPE</t>
  </si>
  <si>
    <t>PARCIALIDAD DE INCA BEBEDERO, CARRETERA PUNO - DESAGUADERO KM. 67</t>
  </si>
  <si>
    <t>QUISPE QUISPE, ESTEBAN</t>
  </si>
  <si>
    <t>106281-057-211217</t>
  </si>
  <si>
    <t>LUIS CABANA CABANA</t>
  </si>
  <si>
    <t>COMUNIDAD HUATAQUITA, SECTOR HUERTAS, CARRETERA CABANILLAS - SANTA LUCIA KM. 5+600.</t>
  </si>
  <si>
    <t> 55:GASOHOL 84 PLUS,110:GASOHOL 84 PLUS</t>
  </si>
  <si>
    <t>116438-057-040815</t>
  </si>
  <si>
    <t>YONI TARRILLO TAPIA</t>
  </si>
  <si>
    <t>PROLONGACION HUALLAGA S/N</t>
  </si>
  <si>
    <t>SAN HILARION</t>
  </si>
  <si>
    <t>0008-ARCI-21-2003</t>
  </si>
  <si>
    <t xml:space="preserve">FELICIANO HUANCA CHAMBI </t>
  </si>
  <si>
    <t xml:space="preserve">AV. SAN MARTIN N° 242 - ANANEA </t>
  </si>
  <si>
    <t>HUANCA CHAMBI, FELICIANO</t>
  </si>
  <si>
    <t>0009-ARCI-21-2003</t>
  </si>
  <si>
    <t>MARTINA TURPO CHAMBI - GRIFO DON ATENCIO</t>
  </si>
  <si>
    <t>CARRETERA ILAVE - JAYUJAYU KM. 5.7 COMUNIDAD CAMPESINA DE APHARUNI</t>
  </si>
  <si>
    <t>TURPO CHAMBI, MARTINA</t>
  </si>
  <si>
    <t>113085-057-200115</t>
  </si>
  <si>
    <t>ROSA CASILDA CLEMENTE MENDOZA</t>
  </si>
  <si>
    <t>CARRETERA FERNANDO BELAUNDE TERRY CASERIO BAJO HUAYNABE</t>
  </si>
  <si>
    <t>33540-057-211217</t>
  </si>
  <si>
    <t xml:space="preserve">SUTTY CCANCCAPA JUAN FERNANDO </t>
  </si>
  <si>
    <t>JR. CARABAYA N° 210</t>
  </si>
  <si>
    <t>AJOYANI</t>
  </si>
  <si>
    <t> 550:GASOHOL 84 PLUS</t>
  </si>
  <si>
    <t>SUTTY CCANCCAPA JUAN FERNANDO</t>
  </si>
  <si>
    <t>141267-057-090219</t>
  </si>
  <si>
    <t xml:space="preserve">HERCILIO HUANCA QUISPE </t>
  </si>
  <si>
    <t>SECTOR PAMPACAMARA</t>
  </si>
  <si>
    <t>URCOS</t>
  </si>
  <si>
    <t>HERCILIO HUANCA QUISPE</t>
  </si>
  <si>
    <t>142079-057-030419</t>
  </si>
  <si>
    <t>DEYSSER ANDERSON LLERENA TELLO</t>
  </si>
  <si>
    <t>CENTRO POBLADO YANASHI</t>
  </si>
  <si>
    <t>LAS AMAZONAS</t>
  </si>
  <si>
    <t> 165:GASOLINA 84,550:DIESEL B5</t>
  </si>
  <si>
    <t>97238-057-220920</t>
  </si>
  <si>
    <t xml:space="preserve">ELVA ELIZABETH RODRIGUEZ BAUTISTA </t>
  </si>
  <si>
    <t>ANEXO DE EMBARCADERO PUERTO ENE</t>
  </si>
  <si>
    <t>PICHARI</t>
  </si>
  <si>
    <t>135165-057-250318</t>
  </si>
  <si>
    <t>PEDRO FLORES CALLE</t>
  </si>
  <si>
    <t>JR. BELLAVISTA S/N CENTRO POBLADO CARHUAPOMA</t>
  </si>
  <si>
    <t>119693-057-090216</t>
  </si>
  <si>
    <t xml:space="preserve">ELDER FLORES MACEDO </t>
  </si>
  <si>
    <t>CARRETERA CONTAMANA - AGUAS CALIENTES - PARCELA N°1</t>
  </si>
  <si>
    <t>CONTAMANA</t>
  </si>
  <si>
    <t>96150-057-160813</t>
  </si>
  <si>
    <t>MARIA ROSA QUEA MOSCAYRO</t>
  </si>
  <si>
    <t>CALLE SAN JUAN DE DIOS S/N</t>
  </si>
  <si>
    <t>18449-057-291113</t>
  </si>
  <si>
    <t>HONORIO BARRETO ANCCALLE</t>
  </si>
  <si>
    <t>CALLE PRINCIPAL S/N - HUANCARANI</t>
  </si>
  <si>
    <t>17939-057-240816</t>
  </si>
  <si>
    <t>FELIPE MOLINA PHOCCO</t>
  </si>
  <si>
    <t>AV PRINCIPAL S/N-CENTRO POBLADO MENOR LA RINCONADA</t>
  </si>
  <si>
    <t> 110:GASOHOLES,220:Diesel B5 S-50 UV</t>
  </si>
  <si>
    <t>37443-057-090615</t>
  </si>
  <si>
    <t>ALFONSO HUMBERTO ALARCON FLORES</t>
  </si>
  <si>
    <t>CARRETERA ILAVE - MAZOCRUZ KM. 7.1</t>
  </si>
  <si>
    <t>134809-057-210318</t>
  </si>
  <si>
    <t>JOSE FELIPE HOYOS JULCA</t>
  </si>
  <si>
    <t>CARRETERA SALIDA A SAN ANDRES</t>
  </si>
  <si>
    <t>SOCOTA</t>
  </si>
  <si>
    <t> 55:GASOHOL 90 PLUS,55:GASOHOL 84 PLUS,55:Diesel B5 S-50</t>
  </si>
  <si>
    <t>141757-057-030619</t>
  </si>
  <si>
    <t xml:space="preserve">DINA MARLENI HANCCO AYALA </t>
  </si>
  <si>
    <t>SECTOR DE ÑANPALCCAQ, COMUNIDAD DE CANGALLI</t>
  </si>
  <si>
    <t>133882-057-110118</t>
  </si>
  <si>
    <t>EDER GOYO DIEGO JULCA</t>
  </si>
  <si>
    <t>CARRETERA FERNANDO BELAUNDE TERRY S/N-NUEVO PROGRESO</t>
  </si>
  <si>
    <t>NUEVO PROGRESO</t>
  </si>
  <si>
    <t>115602-057-140920</t>
  </si>
  <si>
    <t>PARCELA AMANCAES DEL VALLE YAVERO S/N CARRETERA BELLAVISTA CENTRO POBLADO SAN MARTIN</t>
  </si>
  <si>
    <t>128927-057-220917</t>
  </si>
  <si>
    <t>CASTELO S.R.L.</t>
  </si>
  <si>
    <t>CALLE MEDIA LUNA, ZONA 2, MZ. O, LOTE Nº 2, SAN MIGUEL</t>
  </si>
  <si>
    <t>CABANACONDE</t>
  </si>
  <si>
    <t>JUANA ROSMERI CASTELO NINAHUAMAN</t>
  </si>
  <si>
    <t>131655-057-151018</t>
  </si>
  <si>
    <t>JULIO AGUILAR GUERREROS</t>
  </si>
  <si>
    <t>COMUNIDAD PACHANCCA (CARRETERA A SAN JOSE)</t>
  </si>
  <si>
    <t>AYACUCHO</t>
  </si>
  <si>
    <t>HUANTA</t>
  </si>
  <si>
    <t>SANTILLANA</t>
  </si>
  <si>
    <t>150835-057-270820</t>
  </si>
  <si>
    <t xml:space="preserve">BENIGNA MORRIEL MINAYA </t>
  </si>
  <si>
    <t>VIA CUSCO SICUANI COMUNIDAD OCOBAMBA SUR LOTE SIN NUMERO</t>
  </si>
  <si>
    <t>142005-057-150720</t>
  </si>
  <si>
    <t xml:space="preserve">SALOME CHAVARRIA BARBARAN </t>
  </si>
  <si>
    <t>CARRETERA MARGINAL, CENTRO POBLADO CHIHUILLO - SAN ANTONIO</t>
  </si>
  <si>
    <t>LLOCHEGUA</t>
  </si>
  <si>
    <t> 55:GASOHOL 95 PLUS,110:GASOHOL 90 PLUS,165:Diesel B5 S-50</t>
  </si>
  <si>
    <t>0024-ARCI-21-2003</t>
  </si>
  <si>
    <t>JULIA MIRANDA VIUDA DE SACAPUCA</t>
  </si>
  <si>
    <t>AV. TUPAC AMARU Nº 208</t>
  </si>
  <si>
    <t>MIRANDA VDA. DE SUCAPUCA, JULIA</t>
  </si>
  <si>
    <t>21024-057-261018</t>
  </si>
  <si>
    <t xml:space="preserve">AMELIA AQUINO CHUQUIMIA </t>
  </si>
  <si>
    <t>JR. RUFINO ECHENIQUE S/N. BARRIO VISTA ALEGRE</t>
  </si>
  <si>
    <t>34519-057-290413</t>
  </si>
  <si>
    <t>FELIPE BENICIO PARI FLORES</t>
  </si>
  <si>
    <t>CARRETERA PUNO - JULIACA KM. 22.200</t>
  </si>
  <si>
    <t>PAUCARCOLLA</t>
  </si>
  <si>
    <t>105795-057-091113</t>
  </si>
  <si>
    <t>KARINA ROSA CONTRERAS BALDEON</t>
  </si>
  <si>
    <t>CARRETERA CENTRAL KM 339 - FUNDO CUNAYA</t>
  </si>
  <si>
    <t>HUARIACA</t>
  </si>
  <si>
    <t>145014-057-040719</t>
  </si>
  <si>
    <t>LUZ BERTHA ASTETE CONTRERAS</t>
  </si>
  <si>
    <t>CARRETERA HUASAHUASI - TIAMBRA S/N</t>
  </si>
  <si>
    <t>TARMA</t>
  </si>
  <si>
    <t>HUASAHUASI</t>
  </si>
  <si>
    <t>135516-057-110418</t>
  </si>
  <si>
    <t>JR. ABELARDO GUERRA ESQUINA JR. PEDRO PINCHI MZ. 12 LTE. 05</t>
  </si>
  <si>
    <t>146319-057-090919</t>
  </si>
  <si>
    <t>ROBLES ARANA ABELARDO</t>
  </si>
  <si>
    <t>JR. GARCILAZO DE LA VEGA MZ. N° 41 LT. 02</t>
  </si>
  <si>
    <t>MASISEA</t>
  </si>
  <si>
    <t>144678-057-180619</t>
  </si>
  <si>
    <t>TELLO LLERENA DEYSSER ANDERSON</t>
  </si>
  <si>
    <t xml:space="preserve">CENTRO POBLADO YANASHI </t>
  </si>
  <si>
    <t>123565-057-050916</t>
  </si>
  <si>
    <t>NELVAR ALFONSO ARCE PEREZ</t>
  </si>
  <si>
    <t>CARRETERA FERNANDO BELAUNDE TERRY KM 692.95 - C.P. CASPISAPA</t>
  </si>
  <si>
    <t>CASPISAPA</t>
  </si>
  <si>
    <t>96133-057-260312</t>
  </si>
  <si>
    <t xml:space="preserve">JAIME RUBEN QUINCHO HINOSTROZA </t>
  </si>
  <si>
    <t>LOCALIDAD DE HUARACALLA -SECTOR CHACAPAMPA(VIA AMBO LIMAKM 6+500)</t>
  </si>
  <si>
    <t>AMBO</t>
  </si>
  <si>
    <t>QUINCHO HINOSTROZA JAIME RUBEN</t>
  </si>
  <si>
    <t>21156-057-110118</t>
  </si>
  <si>
    <t>SISA LIBERTAD SALAS BENAVENTE</t>
  </si>
  <si>
    <t>CALLE TUPAC AMARU S/N, BARRIO TUPAC AMARU</t>
  </si>
  <si>
    <t> 55:GASOLINA 84,55:DIESEL B5,55:GASOHOL 84 PLUS,110:GASOHOLES</t>
  </si>
  <si>
    <t> 55:DIESEL B5,55:GASOLINA 84,220:DIESEL B5 S-50,330:Diesel B5 S-50</t>
  </si>
  <si>
    <t>132013-057-280917</t>
  </si>
  <si>
    <t>FLOR DE MARIA ORTEGA LIBERATO</t>
  </si>
  <si>
    <t>CARRETERA CHAGLLA A RUMICHACA C.P TOMAYRICA</t>
  </si>
  <si>
    <t>103918-057-020813</t>
  </si>
  <si>
    <t>MERCE INES MEJIA GARCIA</t>
  </si>
  <si>
    <t>CARRETERA LLATA LA LIBERTAD</t>
  </si>
  <si>
    <t>141505-057-270219</t>
  </si>
  <si>
    <t xml:space="preserve">ONORATO DIAZ VILLANUEVA </t>
  </si>
  <si>
    <t>CARRETERA YURIMAGUAS TARAPOTO KM 40 + 230</t>
  </si>
  <si>
    <t>ONORATO DIAZ VILLANUEVA</t>
  </si>
  <si>
    <t>40536-057-110118</t>
  </si>
  <si>
    <t>VICTORIA MAMANI FIGUEROA</t>
  </si>
  <si>
    <t>PROYECTO HABIT URB. LOS JARDINES DE SANTA MARÍA, CARRETERA PUTINA JULIACA KM.3 +11</t>
  </si>
  <si>
    <t>144858-057-270619</t>
  </si>
  <si>
    <t xml:space="preserve">LEONARDA MAGNA VERAMENDI FLORES </t>
  </si>
  <si>
    <t>CALLE PRINCIPAL DEL CENTRO POBLADO DEL PORVENIR</t>
  </si>
  <si>
    <t>VERAMENDI FLORES LEONARDA MAGNA</t>
  </si>
  <si>
    <t>20059-057-250811</t>
  </si>
  <si>
    <t>ROMAN PORTO CONDORI</t>
  </si>
  <si>
    <t>AV. TAMBOPATA S/N</t>
  </si>
  <si>
    <t>COJATA</t>
  </si>
  <si>
    <t>137018-057-040718</t>
  </si>
  <si>
    <t>ELDER FLORES MACEDO</t>
  </si>
  <si>
    <t>CARRETERA CONTAMANA-AGUAS CALIENTES, SECTOR QUEBRADA MAQUIA LOTE 01</t>
  </si>
  <si>
    <t>43214-057-2011</t>
  </si>
  <si>
    <t>LUIS JHOEL CALDERON LARIOS</t>
  </si>
  <si>
    <t>MALECON MARAÑON S/N SAN LORENZO</t>
  </si>
  <si>
    <t> 513:DIESEL B5</t>
  </si>
  <si>
    <t>21027-057-030313</t>
  </si>
  <si>
    <t>QUISPE MAMANI LONY ALEXIS</t>
  </si>
  <si>
    <t>AV. 2 DE SETIEMBRE N° 1062 C.P. SANTIAGO GIRALDO</t>
  </si>
  <si>
    <t xml:space="preserve">QUISPE MAMANI LONY ALEXIS </t>
  </si>
  <si>
    <t>134656-057-210218</t>
  </si>
  <si>
    <t xml:space="preserve">CONSTANTINO IRCO GONZALO </t>
  </si>
  <si>
    <t>COMUNIDAD DE OSEFINA, ANEXO NUEVA LIBERTAD, SECTOR LLACTOMACHAY - PITUMARCA</t>
  </si>
  <si>
    <t>PITUMARCA</t>
  </si>
  <si>
    <t>0000011-AMA</t>
  </si>
  <si>
    <t>PAULA RITA OCAMPO VILLACREZ</t>
  </si>
  <si>
    <t>CARRETERA MARGINAL KM. 247 CASERIO PUERTO NARANJITOS</t>
  </si>
  <si>
    <t>BAGUA GRANDE</t>
  </si>
  <si>
    <t>OCAMPO VILLAGREZ, PAULA RITA</t>
  </si>
  <si>
    <t>0009-ARCI-21-2005</t>
  </si>
  <si>
    <t>JUAN BAUTISTA SANCHO FLORES</t>
  </si>
  <si>
    <t>JR. HEROES DEL PACIFICO S/N</t>
  </si>
  <si>
    <t>SANCHO FLORES, JUAN BAUTISTA</t>
  </si>
  <si>
    <t>0014-ARCI-21-2003</t>
  </si>
  <si>
    <t>FELICIANO CALSINA CCORI</t>
  </si>
  <si>
    <t>ESQ. JR. GENERAL BENAVIDES Nº 302 Y PROGRESO</t>
  </si>
  <si>
    <t>CALSINA CCORI, FELICIANO</t>
  </si>
  <si>
    <t>139176-057-231018</t>
  </si>
  <si>
    <t>EDITH GIULIANA MASGO ROJAS</t>
  </si>
  <si>
    <t>MANZANA N° 01 LOTE N° 01 CENTRO POBLADO DE MACUYA</t>
  </si>
  <si>
    <t>TOURNAVISTA</t>
  </si>
  <si>
    <t>0013-ARCI-21-2003</t>
  </si>
  <si>
    <t>MERCE ANGEL QUISPE MASCO</t>
  </si>
  <si>
    <t>JR. UNION NRO.S/N CERCADO</t>
  </si>
  <si>
    <t>QUISPE MAMANI, FLORA EMERITA</t>
  </si>
  <si>
    <t>151353-057-230920</t>
  </si>
  <si>
    <t>EMERSON RAMOS LAIME</t>
  </si>
  <si>
    <t>AV. PERU S/N MZ "O" LOTE "6" CENTRO POBLADO DE SAN PABLO DE OCCO</t>
  </si>
  <si>
    <t>ANGARAES</t>
  </si>
  <si>
    <t>ANCHONGA</t>
  </si>
  <si>
    <t>92383-057-190511</t>
  </si>
  <si>
    <t>NEGOCIOS GENERALES CRISTO REY E.I.R.L</t>
  </si>
  <si>
    <t xml:space="preserve">CARRETERA MARGINAL KM 326 LA FLORIDA POMACOCHAS </t>
  </si>
  <si>
    <t>FLORIDA</t>
  </si>
  <si>
    <t> 228:DIESEL B5</t>
  </si>
  <si>
    <t>FORTUNATO GUEVARA PRADO</t>
  </si>
  <si>
    <t>138013-057-140818</t>
  </si>
  <si>
    <t>TORRES BRANDAN WALDIR NEYSER</t>
  </si>
  <si>
    <t>CARRETERA SHUNTE PATAZ S/N CASERIO NUEVO BELEN</t>
  </si>
  <si>
    <t>SHUNTE</t>
  </si>
  <si>
    <t>35198-057-140313</t>
  </si>
  <si>
    <t>RUDY WILMER CHAVEZ MAMANI</t>
  </si>
  <si>
    <t>AV. 2 DE SETIEMBRE S/N. URB. INMACULADA CONCEPCION SECTOR MIJANI MZ. D6 LT. 5</t>
  </si>
  <si>
    <t>106330-057-020114</t>
  </si>
  <si>
    <t>ATANACIO NICASIO NOEMI</t>
  </si>
  <si>
    <t xml:space="preserve">LOTE 1 MANZANA A CASERIO SAN PEDRO DE CHIO </t>
  </si>
  <si>
    <t> 110:GASOLINA 90,220:DIESEL B5</t>
  </si>
  <si>
    <t xml:space="preserve">NOEMI ATANACIO NICASIO </t>
  </si>
  <si>
    <t>136976-057-180618</t>
  </si>
  <si>
    <t>ESTHER DELINA GENEBROZO CANEVARO</t>
  </si>
  <si>
    <t>18798-057-240313</t>
  </si>
  <si>
    <t>ROBERTO MAMANI LIZARRAGA</t>
  </si>
  <si>
    <t>AV. 5 DE SETIEMBRE S/N CPM CERRO LUNAR</t>
  </si>
  <si>
    <t>123569-057-060916</t>
  </si>
  <si>
    <t>EDITH TENAZOA ARMAS</t>
  </si>
  <si>
    <t>CARRETERA FERNANDO BELAUNDE TERRY KM 693 - C.P. CASPISAPA</t>
  </si>
  <si>
    <t>95267-057-140212</t>
  </si>
  <si>
    <t>GABINO FERNANDO SHISHCO AGUILAR</t>
  </si>
  <si>
    <t>ESQUINA AV. CONFRATERNIDAD Y JR. VICTORIO LLUA MZ B1 LOTE N° 4, CENTRO POBLADO TUMPA</t>
  </si>
  <si>
    <t>135749-057-270418</t>
  </si>
  <si>
    <t>SAN ANTONIO CORP S.A.C.</t>
  </si>
  <si>
    <t>CENTRO POBLADO LIBERTAD S/N (CARRETERA LIBERTAD PORVENIR OGSHASH)</t>
  </si>
  <si>
    <t>FLORMIRA ORTIZ ROJAS</t>
  </si>
  <si>
    <t>105273-057-280913</t>
  </si>
  <si>
    <t>SANTOS ROJAS LESCANO</t>
  </si>
  <si>
    <t>CASERIO SANTA ROSA BAJA CARRETERA CHOTA TACABAMBA</t>
  </si>
  <si>
    <t> 55:GASOHOL 90 PLUS,55:GASOHOL 84 PLUS,220:DIESEL B5</t>
  </si>
  <si>
    <t>140447-057-010219</t>
  </si>
  <si>
    <t>MARIA ELITA GOICOCHEA TAPIA</t>
  </si>
  <si>
    <t>CARRETERA FERNANDO BELAUNDE TERRY KM 343 + 020, CPM LA ESPERANZA</t>
  </si>
  <si>
    <t>YAMBRASBAMBA</t>
  </si>
  <si>
    <t>0000145-PUN</t>
  </si>
  <si>
    <t>LORENZA LIZARRAGA PORTO</t>
  </si>
  <si>
    <t>AV. SAN MARTIN N° 271</t>
  </si>
  <si>
    <t>LIZARRAGA PORTO, LORENZA</t>
  </si>
  <si>
    <t>137010-057-040718</t>
  </si>
  <si>
    <t xml:space="preserve">INVERSIONES Y SERVICIOS CESAR E.I.R.L. </t>
  </si>
  <si>
    <t>CARRETERA CONTAMANA -AGUAS CALIENTES, SECTOR QUEBRADA MAQUIA, LT. 5</t>
  </si>
  <si>
    <t xml:space="preserve">HILDEBRANDO NAVARRO RIOS </t>
  </si>
  <si>
    <t>96653-057-030612</t>
  </si>
  <si>
    <t>JUAN ROJAS CHUQUIZUTA</t>
  </si>
  <si>
    <t>PROLONGACION JR TORIBIO RODRIGUEZ DE MENDOZA S/N CARRETERA AFIRMADA LUYA-LAMUD</t>
  </si>
  <si>
    <t>93827-057-120820</t>
  </si>
  <si>
    <t>WALTER GUZMAN OJEDA</t>
  </si>
  <si>
    <t>JR. TACNA LOTE A-03</t>
  </si>
  <si>
    <t>SANTA ANA</t>
  </si>
  <si>
    <t>121332-057-191017</t>
  </si>
  <si>
    <t>EDMIN EDUARDO ORTIZ ASENCIOS</t>
  </si>
  <si>
    <t>CENTRO POBLADO CUYACU SECTOR EL CARMEN CARRETERA PRINCIPAL TINGO MARIA- MONZON</t>
  </si>
  <si>
    <t>107551-057-050314</t>
  </si>
  <si>
    <t>ALBERTO MASGO CARBAJAL</t>
  </si>
  <si>
    <t>JR SANTO DOMINGO S/N BARRIO CEBADA LOMA</t>
  </si>
  <si>
    <t>129035-057-190617</t>
  </si>
  <si>
    <t>CARRETERA FERNANDO BELAUNDE TERRY KM 165 + 250 C.P. CHAMAYA (REF. PUENTE CHAMAYA II - EL TUMI)</t>
  </si>
  <si>
    <t>115896-057-270218</t>
  </si>
  <si>
    <t>NICOLAS MAMANI TURPO</t>
  </si>
  <si>
    <t>SECTOR SALVIANI DESVIO COASA - AJOYA</t>
  </si>
  <si>
    <t> 220:DIESEL B5 S-50,330:Diesel B5 S-50</t>
  </si>
  <si>
    <t>127226-057-270417</t>
  </si>
  <si>
    <t>EMPRESA MULTISERVICIOS LIBER CAR E.I.R.L.</t>
  </si>
  <si>
    <t>KM. 147.800 DE LA VIA LOS LIBERTADORES</t>
  </si>
  <si>
    <t>HUAYTARA</t>
  </si>
  <si>
    <t>TAMBO</t>
  </si>
  <si>
    <t>LISBET TEODOSIA QUISPE CORO</t>
  </si>
  <si>
    <t>20040-057-160218</t>
  </si>
  <si>
    <t>FROILAN ANDRES QUISPE ALEMAN</t>
  </si>
  <si>
    <t>CALLE SANTO DOMINGO N° 110</t>
  </si>
  <si>
    <t>139295-057-220720</t>
  </si>
  <si>
    <t xml:space="preserve">GLADINE HURTADO AUCCATINCO </t>
  </si>
  <si>
    <t>CARRETERA URCOS - SICUANI, SECTOR PATABAMBA, VALLE VILCANOTA SUR</t>
  </si>
  <si>
    <t>CUSIPATA</t>
  </si>
  <si>
    <t> 110:GASOHOL 90 PLUS,550:Diesel B5 S-50</t>
  </si>
  <si>
    <t>135721-057-210418</t>
  </si>
  <si>
    <t>PETSUR H Y R S.A.C.</t>
  </si>
  <si>
    <t>PARCELA N° 002-E RESERVORIO N° 9 FILTRO 3 DEL PROTER SAMA ZONA I</t>
  </si>
  <si>
    <t>HERNAN HUACCA HUACCA</t>
  </si>
  <si>
    <t>85906-057-250518</t>
  </si>
  <si>
    <t>FILOMENA PARI HANCCO</t>
  </si>
  <si>
    <t>150743-057-250820</t>
  </si>
  <si>
    <t xml:space="preserve">CARRETERA TOURNAVISTA KM. 3.800 CASERIO PIMENTAL </t>
  </si>
  <si>
    <t>107345-057-140714</t>
  </si>
  <si>
    <t>RULLER RENGIFO PANDURO</t>
  </si>
  <si>
    <t>CARRETERA FERNANDO BELAUNDE TERRY S/N CASERIO SAN JUAN</t>
  </si>
  <si>
    <t>0001-ARCI-16-2010</t>
  </si>
  <si>
    <t>CRISOSTOMO LEON BARDALES</t>
  </si>
  <si>
    <t>CALLE LUIS SANTILLAN JULCA ESQUINA CON AV. OLEODUCTO, MZ. 69, LOTE Nº 5, II ETAPA DE LOTIZACION DE LA CIUDAD DE SAN LORENZO</t>
  </si>
  <si>
    <t> 495:DIESEL B2</t>
  </si>
  <si>
    <t>LEON BARDALES, CRISOSTOMO</t>
  </si>
  <si>
    <t>20093-057-280120</t>
  </si>
  <si>
    <t>ANDOA NEYRA ARMANDO</t>
  </si>
  <si>
    <t>AV. CHAZUTA Nº 855 - BARRIO VISTA ALEGRE</t>
  </si>
  <si>
    <t>CHAZUTA</t>
  </si>
  <si>
    <t>0001-ARCI-04-2002</t>
  </si>
  <si>
    <t>PERCY RAUL DUEÑAS GONZALES</t>
  </si>
  <si>
    <t>IRRIGACION LA CANO PARCELA Nº 159 LATERAL 6</t>
  </si>
  <si>
    <t>LA JOYA</t>
  </si>
  <si>
    <t>DUEÑAS GONZALES, PERCY RAUL</t>
  </si>
  <si>
    <t>0002-GRRU-13-2007</t>
  </si>
  <si>
    <t>KARIN VICTORIA CHIGNE FLORES</t>
  </si>
  <si>
    <t>AV.LIBERTAD S/N</t>
  </si>
  <si>
    <t>GRAN CHIMU</t>
  </si>
  <si>
    <t>CASCAS</t>
  </si>
  <si>
    <t>CHIGNE FLORES, KARIN VICTORIA</t>
  </si>
  <si>
    <t>142076-057-210319</t>
  </si>
  <si>
    <t>INES MILAGRITOS ALANIA CANCHORICRA</t>
  </si>
  <si>
    <t>CASERIO SANTA ROSA MZ. 1 LOTE 5 - CARRETERA SAN FRANCISCO</t>
  </si>
  <si>
    <t>YARINACOCHA</t>
  </si>
  <si>
    <t>140729-057-180219</t>
  </si>
  <si>
    <t>JAIME GERMAN SIGUAS RAMIREZ</t>
  </si>
  <si>
    <t xml:space="preserve">GONZALES PRADA CARRETERA YAVARI MIRI </t>
  </si>
  <si>
    <t>FERNANDO LORES</t>
  </si>
  <si>
    <t>0000028-LOR</t>
  </si>
  <si>
    <t>CESAR AUGUSTO REATEGUI DEL AGUILA</t>
  </si>
  <si>
    <t>ESQ. CALLE MARAÑON 2 CUADRA Y RAMON CASTILLA</t>
  </si>
  <si>
    <t>REATEGUI DEL AGUILA, CESAR AUGUSTO</t>
  </si>
  <si>
    <t>64039-057-260416</t>
  </si>
  <si>
    <t>FRANCISCO LORENZO MEDINA AGUILAR</t>
  </si>
  <si>
    <t>AV. AEROPUERTO MZ. J LOTE 8</t>
  </si>
  <si>
    <t>150611-057-170820</t>
  </si>
  <si>
    <t xml:space="preserve">MAGDA YESICA CARREÑO ZANABRIA DE VARGAS </t>
  </si>
  <si>
    <t>KEPASHIATO - KIMBIRI, CENTRO POBLADO DE KEPASHIATO</t>
  </si>
  <si>
    <t>139089-057-111018</t>
  </si>
  <si>
    <t>JUAN MAMANI BELIZARIO</t>
  </si>
  <si>
    <t>SECTOR PUEBLO PUCA MOCCO C.CAMPESINA SORAZA</t>
  </si>
  <si>
    <t>134657-057-210218</t>
  </si>
  <si>
    <t xml:space="preserve">ROGER NOA GUERRA </t>
  </si>
  <si>
    <t>ZONA RURAL JR. VILCANOTA Y CALLE CUSCO</t>
  </si>
  <si>
    <t>MARANGANI</t>
  </si>
  <si>
    <t>33412-057-261020</t>
  </si>
  <si>
    <t>ERMITAÑA TOLEDO HUAMAN</t>
  </si>
  <si>
    <t>SECTOR ALTO LOROHUACHANAPA S/N. IPALPATA CARRETERA QUELLOUNO-LACCO</t>
  </si>
  <si>
    <t>18286-057-180218</t>
  </si>
  <si>
    <t xml:space="preserve">SALOME CHAMBI CHAHUARA </t>
  </si>
  <si>
    <t xml:space="preserve">COMUNIDAD CAMPESINA TOLDOQUERE </t>
  </si>
  <si>
    <t>110955-057-051020</t>
  </si>
  <si>
    <t xml:space="preserve">RUTH YUDI CARREÑO ZANABRIA </t>
  </si>
  <si>
    <t>BARRIO DE SAN MARTIN S/N SECTOR KITENI</t>
  </si>
  <si>
    <t>103124-057-120613</t>
  </si>
  <si>
    <t>RICARDO ESPINOZA SEMPERTEGUI</t>
  </si>
  <si>
    <t>CASERIO SANTA ROSA, CARRETERA CHOTA – TACABAMBA KM 0+500</t>
  </si>
  <si>
    <t>0000052-PUN</t>
  </si>
  <si>
    <t>MIGUEL RIVERA RAMOS</t>
  </si>
  <si>
    <t>CARRETERA CHASQUI - CACHIPUCARA KM. 24 CENTRO POBLADO MENOR DE VILLA ASUNCION</t>
  </si>
  <si>
    <t>RIVERA RAMOS, MIGUEL</t>
  </si>
  <si>
    <t>0000051-PUN</t>
  </si>
  <si>
    <t>ANASTACIA ESTELA CARITA</t>
  </si>
  <si>
    <t>CARRETERA PANAMERICANA KM. 7 POMATA - YUNGUYO - CPM QUEÑUANI</t>
  </si>
  <si>
    <t>ESTELA CARITA, ANASTACIA</t>
  </si>
  <si>
    <t>0000019-PUN</t>
  </si>
  <si>
    <t>VICTOR CUNO TRUJILLO</t>
  </si>
  <si>
    <t>BARRIO EZEQUIEL URVIOLA AV. LOS PROCERES S/N. CARRETERA AZANGARO - JULIACA KM. 63</t>
  </si>
  <si>
    <t>CUNO TRUJILLO, VICTOR</t>
  </si>
  <si>
    <t>148522-057-130120</t>
  </si>
  <si>
    <t>CASA MAMANI JHON RICHARD</t>
  </si>
  <si>
    <t>CARRETERA FERNANDO BELAUNDE TERRY CASERIO PUERTO RICO</t>
  </si>
  <si>
    <t>0000030-PUN</t>
  </si>
  <si>
    <t>RAMONA FRANCISCA GOMEZ DE PERALTA</t>
  </si>
  <si>
    <t>URB. PANCAQUIA, AV. LOS PROCERES S/N. CARRETERA AZANGARO - JULIACA</t>
  </si>
  <si>
    <t>GOMEZ DE PERALTA, RAMONA FRANCISCA</t>
  </si>
  <si>
    <t>116152-057-210815</t>
  </si>
  <si>
    <t>IRENE PELINCO QUISPE</t>
  </si>
  <si>
    <t>CARRETERA JULIACA - CAPACHICA KM. 23 DEL CENTRO POBLADO DE JOCHI - SAN FRANCISCO</t>
  </si>
  <si>
    <t>IRNE PELINCO QUISPE</t>
  </si>
  <si>
    <t>0000026-PUN</t>
  </si>
  <si>
    <t>JUAN CHAMBILLA CHAMBILLA</t>
  </si>
  <si>
    <t>VIA PANAMERICANA S/N. COPANI - YUNGUYO</t>
  </si>
  <si>
    <t>CHAMBILLA CHAMBILLA, JUAN</t>
  </si>
  <si>
    <t>95185-057-090112</t>
  </si>
  <si>
    <t>ELVIS REVILLA FERNANDEZ</t>
  </si>
  <si>
    <t>AV. PRINCIPAL CUADRA Nº 06 - EL MUYO - ARAMANGO</t>
  </si>
  <si>
    <t>ARAMANGO</t>
  </si>
  <si>
    <t> 55:GASOLINA 84,220:DIESEL B5</t>
  </si>
  <si>
    <t>0002-ARCI-22-2002</t>
  </si>
  <si>
    <t>MARIANO MEDINA QUISPE</t>
  </si>
  <si>
    <t>CARR. MARGINAL KM. 443+900 CASERIO ANGAYZA C.P.M. NARANJILLO</t>
  </si>
  <si>
    <t>MEDINA QUISPE, MARIANO</t>
  </si>
  <si>
    <t>64082-057-080517</t>
  </si>
  <si>
    <t>DANIEL WILDER ARTEAGA RODRIGUEZ</t>
  </si>
  <si>
    <t>LOCALIDAD DE ULLPAYACU-MARGEN IZQUIERDA DEL RIO PASTAZA</t>
  </si>
  <si>
    <t>PASTAZA</t>
  </si>
  <si>
    <t>91400-057-270411</t>
  </si>
  <si>
    <t>PILAR MAMANI HANCCO</t>
  </si>
  <si>
    <t>AV. SANDIA S/N CON CALLE PICOTANI</t>
  </si>
  <si>
    <t>QUILCAPUNCU</t>
  </si>
  <si>
    <t xml:space="preserve">PILAR MAMANI HANCCO </t>
  </si>
  <si>
    <t>142400-057-020419</t>
  </si>
  <si>
    <t xml:space="preserve">ZOSIMO LIMPE VILLACORTA </t>
  </si>
  <si>
    <t>MZ. A LOTE 5 SECTOR HERMANOS AYAR</t>
  </si>
  <si>
    <t>PARURO</t>
  </si>
  <si>
    <t>PACCARITAMBO</t>
  </si>
  <si>
    <t>0004-ARCI-16-2005</t>
  </si>
  <si>
    <t>FEDERICO CHANCHARI LANCHA</t>
  </si>
  <si>
    <t xml:space="preserve">ESQ. CALLE NAPO CON CALLE AMAZONAS C.P.M. SAN LORENZO </t>
  </si>
  <si>
    <t> 1155:DIESEL 2</t>
  </si>
  <si>
    <t>CHANCHARI LANCHA, FEDERICO</t>
  </si>
  <si>
    <t>97212-057-200814</t>
  </si>
  <si>
    <t>BERNARDINO PUMA MALDONADO</t>
  </si>
  <si>
    <t>CARRETERA CUSCO - SICUANI KM. 1078+40 PREDIO PICCO PUNUCHINA</t>
  </si>
  <si>
    <t>121657-057-310516</t>
  </si>
  <si>
    <t>TEODORA ALVAREZ AROSTEGUI</t>
  </si>
  <si>
    <t>CALLE PRINCIPAL N° 239 CENTRO POBLADO HUARICHACA</t>
  </si>
  <si>
    <t>MOLINO</t>
  </si>
  <si>
    <t> 110:GASOHOL 90 PLUS,220:DIESEL B5</t>
  </si>
  <si>
    <t>0001-ARCI-22-2003</t>
  </si>
  <si>
    <t>EMIGIDIO ESPINOZA OSCANOA</t>
  </si>
  <si>
    <t>CARRETERA FERNANDO BELAUNDE TERRY - TINGO MARIA - TOCACHE KM. 118</t>
  </si>
  <si>
    <t>ESPINOZA OSCANOA, EMIGIDIO</t>
  </si>
  <si>
    <t>134855-057-090318</t>
  </si>
  <si>
    <t>99860-057-150213</t>
  </si>
  <si>
    <t>MARTIN VELA GARCIA</t>
  </si>
  <si>
    <t>JR. LETICIA CUADRA 3</t>
  </si>
  <si>
    <t>0000003-AMA</t>
  </si>
  <si>
    <t>OSCAR ROBERTO VILCHEZ LOPEZ</t>
  </si>
  <si>
    <t>CENTRO POBLADO IMACITA</t>
  </si>
  <si>
    <t>CAJARURO</t>
  </si>
  <si>
    <t>VILCHEZ LOPEZ, OSCAR ROBERTO</t>
  </si>
  <si>
    <t>0000068-PUN</t>
  </si>
  <si>
    <t xml:space="preserve">HERMENEGILDO COLQUE RAMOS </t>
  </si>
  <si>
    <t>CALLE PRINCIPAL S/N. SALIDA A JULIACA</t>
  </si>
  <si>
    <t>COLQUE RAMOS, HERMENEGILDO</t>
  </si>
  <si>
    <t>0000053-PUN</t>
  </si>
  <si>
    <t xml:space="preserve">HUMBERTO LUNA CABRERA </t>
  </si>
  <si>
    <t xml:space="preserve">CENTRO POBLADO DE HUAPACA SAN MIGUEL </t>
  </si>
  <si>
    <t>LUNA CABRERA, HUMBERTO</t>
  </si>
  <si>
    <t>0000058-PUN</t>
  </si>
  <si>
    <t xml:space="preserve">BUENAVENTURA LUPACA CHARCA </t>
  </si>
  <si>
    <t xml:space="preserve">CARRETERA CHASQUI - PILCUYO KM. 0+150 COMUNIDAD CHASQUI </t>
  </si>
  <si>
    <t>LUPACA CHARCA, BUENAVENTURA</t>
  </si>
  <si>
    <t>0016-ARCI-21-2002</t>
  </si>
  <si>
    <t>OLGA GRACIELA LUPACA QUISPE</t>
  </si>
  <si>
    <t>CARRETERA PANAMERICANA SUR JULI - ILAVE KM. 61+500 COMUNIDAD CHASQUI</t>
  </si>
  <si>
    <t>LUPACA QUISPE, OLGA GRACIELA</t>
  </si>
  <si>
    <t>112220-057-051114</t>
  </si>
  <si>
    <t>ANGEL ULISES VALVERDE ZEVALLOS</t>
  </si>
  <si>
    <t>CARRETERA FERNANDO BELAUNDE TERRY PREDIO METROPOLI CASERIO KUNYAG S/N</t>
  </si>
  <si>
    <t>86614-057-150413</t>
  </si>
  <si>
    <t>RAMON REQUEJO GUEVARA</t>
  </si>
  <si>
    <t>CARRETERA EL ALTO SISA KM. 1 - BARRIO LA RIVERA</t>
  </si>
  <si>
    <t>107762-057-270218</t>
  </si>
  <si>
    <t>ESTEBAN ZAGA TURPO</t>
  </si>
  <si>
    <t>AV. TUPAC AMARU S/N BARRIO NUEVA ESPERANZA</t>
  </si>
  <si>
    <t>0000085-PUN</t>
  </si>
  <si>
    <t>VICTORIA JULI CANDIA</t>
  </si>
  <si>
    <t>COMUNIDAD CAMPESINA DE MOYA PAMPA CURVA SUANCATA KM. 74 CARRETERA PANAMERICANA</t>
  </si>
  <si>
    <t>JULI CANDIA DE QUISPE, VICTORIA</t>
  </si>
  <si>
    <t>0000078-PUN</t>
  </si>
  <si>
    <t>RODOLFO CALIZAYA CACERES</t>
  </si>
  <si>
    <t>COMUNIDAD CAMPESINA DE CHAUPI AYLLU CARRETERA HUACCHANI - PATAMBUCO</t>
  </si>
  <si>
    <t>PATAMBUCO</t>
  </si>
  <si>
    <t>CALIZAYA CACERES, RODOLFO</t>
  </si>
  <si>
    <t>0000105-PUN</t>
  </si>
  <si>
    <t>AURELIO PACORI FERNANDEZ</t>
  </si>
  <si>
    <t>AV. MARISCAL CASTILLA N° 324</t>
  </si>
  <si>
    <t>MAÑAZO</t>
  </si>
  <si>
    <t>PACORI FERNANDEZ, AURELIO LUDGARDO</t>
  </si>
  <si>
    <t>17930-057-030313</t>
  </si>
  <si>
    <t>MULTISERVICIO GRIFO CAJSI EMPRESA INDIVIDUAL DE RESPOSABILIDAD LIMITADA</t>
  </si>
  <si>
    <t xml:space="preserve">JR. FRANCISCO BOLOGNESI S/N. </t>
  </si>
  <si>
    <t>CAJSI CAXI ELIZABETH</t>
  </si>
  <si>
    <t>125888-057-021118</t>
  </si>
  <si>
    <t xml:space="preserve">CRISTINA RIVERO MAMANI </t>
  </si>
  <si>
    <t>CARRETERA PANAMERICANA SUR SICUANI - CUSCO S/N</t>
  </si>
  <si>
    <t>21162-057-2011</t>
  </si>
  <si>
    <t>OSCAR OLIVERA REQUEJO</t>
  </si>
  <si>
    <t>PROLONGACION AV. 27 DE OCTUBRE</t>
  </si>
  <si>
    <t> 114:DIESEL B5</t>
  </si>
  <si>
    <t> 285:DIESEL B5</t>
  </si>
  <si>
    <t>40168-057-050816</t>
  </si>
  <si>
    <t>CEFERINO RAMIREZ MONTALVAN</t>
  </si>
  <si>
    <t>JR. ABELARDO GUERRA S/N</t>
  </si>
  <si>
    <t>88948-057-2010</t>
  </si>
  <si>
    <t>REYMUNDO FLORES CHAMBI</t>
  </si>
  <si>
    <t>CARRETERA TACNA TARATA K.M. 85 SECTOR LUPAJA-PACATAPE</t>
  </si>
  <si>
    <t>20025-057-040713</t>
  </si>
  <si>
    <t>EVA ROLANDA ROQUE DE CONTRERAS</t>
  </si>
  <si>
    <t>JR. PASCO S/N.</t>
  </si>
  <si>
    <t>HUAYLLAY</t>
  </si>
  <si>
    <t>130344-057-250718</t>
  </si>
  <si>
    <t>NELLY CONCEPCION CALSINA GARATE</t>
  </si>
  <si>
    <t>CALLE AREQUIPA S/N - CENTRO POBLADO DE UPINA</t>
  </si>
  <si>
    <t>0003-ARCI-08-2007</t>
  </si>
  <si>
    <t>NAYDA QUISPE MAMANI</t>
  </si>
  <si>
    <t>CALLE PROLONGACION 2 DE MAYO S/N</t>
  </si>
  <si>
    <t>QUISPE MAMANI, NAYDA</t>
  </si>
  <si>
    <t>104911-057-271013</t>
  </si>
  <si>
    <t>CASO ALANYA LIDIO OLIVIO</t>
  </si>
  <si>
    <t>AV BOLOGNESI S/N</t>
  </si>
  <si>
    <t>LIDIO OLIVIO CASO ALANYA</t>
  </si>
  <si>
    <t>0021-ARCI-21-2001</t>
  </si>
  <si>
    <t>FELIPE CANQUI PANCA</t>
  </si>
  <si>
    <t>COMUNIDAD DE UROS CHULLUNI KM. 7</t>
  </si>
  <si>
    <t>CANQUI PANCA, FELIPE</t>
  </si>
  <si>
    <t>0000115-PUN</t>
  </si>
  <si>
    <t>SABINO QUISPE CHURA</t>
  </si>
  <si>
    <t>AV. PRINCIPAL S/N. BARRIO VILLA HERMOSA CENTRO POBLADO MENOR CERRO LUNAR</t>
  </si>
  <si>
    <t>QUISPE CHURA, SABINO</t>
  </si>
  <si>
    <t>18854-057-030313</t>
  </si>
  <si>
    <t>DELIA MAYTA DE MACEDO</t>
  </si>
  <si>
    <t>CALLE CUSCO N° 125</t>
  </si>
  <si>
    <t>0003-ARCI-22-2003</t>
  </si>
  <si>
    <t>JAIME SANCHEZ NORIEGA - GRIFO RURAL MIKE</t>
  </si>
  <si>
    <t>CALLE ARICA S/N</t>
  </si>
  <si>
    <t>SAN JOSE DE SISA</t>
  </si>
  <si>
    <t>SANCHEZ NORIEGA, JAIME</t>
  </si>
  <si>
    <t>0000121-PUN</t>
  </si>
  <si>
    <t>LUIS GREGORIO ZAPANA VELA</t>
  </si>
  <si>
    <t>CARRETERA PANAMERICANA KM. 136, COMUNIDAD CAMPESINA DE SAN SEBASTIAN</t>
  </si>
  <si>
    <t>ZEPITA</t>
  </si>
  <si>
    <t>ZAPANA VELA, LUIS GREGORIO</t>
  </si>
  <si>
    <t>0000147-PUN</t>
  </si>
  <si>
    <t>MARLENY MONTESINOS MANSILLA</t>
  </si>
  <si>
    <t>JR. CIRO VENERO Nº 014</t>
  </si>
  <si>
    <t>MONTESINOS MANSILLA, MARLENY</t>
  </si>
  <si>
    <t>0000158-PUN</t>
  </si>
  <si>
    <t>ALBERTO CHAMBI RAMOS</t>
  </si>
  <si>
    <t>CARRETERA YUNGUYO - COPANI KM. 01 PARCIALIDAD CHAMBI QUIMZA CRUZ</t>
  </si>
  <si>
    <t>CHAMBI RAMOS, ALBERTO</t>
  </si>
  <si>
    <t>140071-057-041218</t>
  </si>
  <si>
    <t xml:space="preserve">JUAN CARLOS QUISPE HUAMAN </t>
  </si>
  <si>
    <t>COMUNIDAD CAMPESINA PAMPACHIRI</t>
  </si>
  <si>
    <t>0029-ARCI-21-2001</t>
  </si>
  <si>
    <t>ALBERTO CONDEMAYTA SAMO</t>
  </si>
  <si>
    <t>KM. 6.2 CARRETERA ACORA - CCACCA COMUNIDAD CAMPESINA DE CCACCA</t>
  </si>
  <si>
    <t>CONDEMAYTA SAMO, ALBERTO</t>
  </si>
  <si>
    <t>0006-ARCI-21-2001</t>
  </si>
  <si>
    <t>BENANCIO HANCCO MAMANI</t>
  </si>
  <si>
    <t>CALLE SAN ROMAN LOTE A-2 CENTRO POBLADO MENOR LA RINCONADA</t>
  </si>
  <si>
    <t>HANCCO MAMANI, BENANCIO</t>
  </si>
  <si>
    <t>0004-ARCI-21-2001</t>
  </si>
  <si>
    <t>BLANCO CASTILLO USECCA</t>
  </si>
  <si>
    <t>AV. ILAVE S/N CARRETERA ILAVE - MAZOCRUZ KM. 69</t>
  </si>
  <si>
    <t>CONDURIRI</t>
  </si>
  <si>
    <t>CASTILLO USECCA, BLANCO</t>
  </si>
  <si>
    <t>93095-057-080812</t>
  </si>
  <si>
    <t>FELIPE CURAMPA QUISPE</t>
  </si>
  <si>
    <t>CARRETERA CUSCO-PACARECCTAMBO LOTE 2 MZ "I" COMUNIDAD HUANCARQUI</t>
  </si>
  <si>
    <t>YAURISQUE</t>
  </si>
  <si>
    <t>NICACIA JAUJA SEJAS</t>
  </si>
  <si>
    <t>133255-057-260218</t>
  </si>
  <si>
    <t>SANDRA OLIVIA MEDRANO DE LA O</t>
  </si>
  <si>
    <t>JR. CENTENARIO S/N CENTRO POBLADO DE MONZON</t>
  </si>
  <si>
    <t>144760-057-260619</t>
  </si>
  <si>
    <t>ARANDA VILLANUEVA YELSEN MILLER</t>
  </si>
  <si>
    <t>CARRETERA YUNGAY-YANAMA - ESPALDA DE LA PLAZA - KM 60</t>
  </si>
  <si>
    <t>YANAMA</t>
  </si>
  <si>
    <t>0065-ARCI-21-2001</t>
  </si>
  <si>
    <t xml:space="preserve">ALIPIO MAMANI MARCA </t>
  </si>
  <si>
    <t xml:space="preserve">CARRETERA PANAMERICANA SUR KM. 8, YUNGUYO A POMAT </t>
  </si>
  <si>
    <t>MAMANI MARCA, ALIPIO</t>
  </si>
  <si>
    <t>131235-057-290817</t>
  </si>
  <si>
    <t>JEANETH GABRIELA PAUCAR LEON</t>
  </si>
  <si>
    <t>CARRETERA MARGINAL (KM 15.8 DESDE PICHANAKI A LA MERCED-SECTOR DE KIVINAKI)</t>
  </si>
  <si>
    <t>CHANCHAMAYO</t>
  </si>
  <si>
    <t>PERENE</t>
  </si>
  <si>
    <t>138679-057-080720</t>
  </si>
  <si>
    <t>VANIA AREVALO PEREZ</t>
  </si>
  <si>
    <t>CARRETERA PISCOYACU - EL ESLABON - SACANCHE (JR MORONA C-1 )</t>
  </si>
  <si>
    <t>PISCOYACU</t>
  </si>
  <si>
    <t> 55:GASOLINA 90,110:GASOLINA 84,165:Diesel B5 S-50</t>
  </si>
  <si>
    <t>108789-057-060414</t>
  </si>
  <si>
    <t>HERCIN LOZANO VARGAS</t>
  </si>
  <si>
    <t>CARRETERA FERNANDO BELAUNDE TERRY KM 751</t>
  </si>
  <si>
    <t>JUANJUI</t>
  </si>
  <si>
    <t>111818-057-121014</t>
  </si>
  <si>
    <t>BELTRAN FLORES VILMA ROSA</t>
  </si>
  <si>
    <t>CARRETERA MANCOS A HUAMBO MUSHO S/N</t>
  </si>
  <si>
    <t>VILMA ROSA BELTRAN FLORES</t>
  </si>
  <si>
    <t>136310-057-240518</t>
  </si>
  <si>
    <t>MARDONIO DIEGO JULCA</t>
  </si>
  <si>
    <t>CARRETERA FERNANDO BELAUNDE TERRY S/N EL SECTOR MANTECA</t>
  </si>
  <si>
    <t>131467-057-030620</t>
  </si>
  <si>
    <t>CARREÑO ZANABRIA DE VARGAS MAGDA YESICA</t>
  </si>
  <si>
    <t>LOTE 04 DE LA MANZANA W, CENTRO POBLADO KITENI - ECHARATE</t>
  </si>
  <si>
    <t>41053-057-190213</t>
  </si>
  <si>
    <t>DAVID LANDA YAURI</t>
  </si>
  <si>
    <t>KM. 21+978 CARRETERA CENTRAL LA OROYA - CERRO DE PASCO ANEXO LAS VEGAS</t>
  </si>
  <si>
    <t>PACCHA</t>
  </si>
  <si>
    <t>38515-057-250313</t>
  </si>
  <si>
    <t>MISORITA AKIKO KATAYAMA LOZANO DE MATOS</t>
  </si>
  <si>
    <t>JR. ARGENTINA MZ. A -LT 2. AA.HH. MANANTAY</t>
  </si>
  <si>
    <t>MANANTAY</t>
  </si>
  <si>
    <t>0005-ARCI-21-2002</t>
  </si>
  <si>
    <t>RUFINO MAMANI NINA</t>
  </si>
  <si>
    <t>CARRETERA BINACIONAL ILO - DESAGUADERO KM. 363 VILLA YOROHOCO</t>
  </si>
  <si>
    <t>MAMANI NINA, RUFINO</t>
  </si>
  <si>
    <t>0066-ARCI-21-2001</t>
  </si>
  <si>
    <t>LUZMILA NEYRA LUJANO</t>
  </si>
  <si>
    <t>JR. AUGUSTO B.LEGUIA N° 963 BARRIO 3 DE MAYO LOCALIDAD DE LARAQUERI</t>
  </si>
  <si>
    <t>NEYRA LUJANO, LUZMILA</t>
  </si>
  <si>
    <t>21025-057-240313</t>
  </si>
  <si>
    <t>ELOY LLAVILLA DE LA CRUZ</t>
  </si>
  <si>
    <t>AV. PUNO N° 141</t>
  </si>
  <si>
    <t>TIRAPATA</t>
  </si>
  <si>
    <t>92581-057-200611</t>
  </si>
  <si>
    <t>ALEXANDER AUGUSTO MONJA GALLEGOS</t>
  </si>
  <si>
    <t>JR BLAS VALERA NRO 372 LUYA - BARRIO SANTA CRUZ</t>
  </si>
  <si>
    <t>94475-057-050118</t>
  </si>
  <si>
    <t>NATIVO ADRIAN TTUPA HUALLPA</t>
  </si>
  <si>
    <t>COMUNIDAD CAMPESINA PAMPACAMARA CARRET. INTEROCEANICA URCOS - PTO MALDONADO</t>
  </si>
  <si>
    <t> 57:GASOHOL 84 PLUS,57:Diesel B5 S-50</t>
  </si>
  <si>
    <t> 57:Diesel B5 S-50,57:GASOHOL 84 PLUS</t>
  </si>
  <si>
    <t> 57:Diesel B5 S-50</t>
  </si>
  <si>
    <t>0000004-AMA</t>
  </si>
  <si>
    <t>MILVER SEGURA BARBOZA</t>
  </si>
  <si>
    <t>AV. MESONES MURO N° 427 C.P.M. LIBERTAD</t>
  </si>
  <si>
    <t>SEGURA BARBOZA, MILVER</t>
  </si>
  <si>
    <t>18287-057-310811</t>
  </si>
  <si>
    <t>SERVICENTRO ALRUMA S.R.L.</t>
  </si>
  <si>
    <t xml:space="preserve">AV. MANUEL CERVANTES S/N. CARRETERA JULIACA - SANTA LUCIA </t>
  </si>
  <si>
    <t xml:space="preserve">ALDO RUBEN CENTENO RODRIGUEZ </t>
  </si>
  <si>
    <t>21201-057-180716</t>
  </si>
  <si>
    <t>GRIFO UNION KINKON S.R.L.</t>
  </si>
  <si>
    <t>AV. DESAGUADERO S/N.</t>
  </si>
  <si>
    <t> 275:DIESEL B5 S-50</t>
  </si>
  <si>
    <t>TOMAS MAMANI LIMACHI</t>
  </si>
  <si>
    <t>0001-ARCI-25-2009</t>
  </si>
  <si>
    <t>DIANA CAROLINA GRANDEZ KOGA</t>
  </si>
  <si>
    <t>CARRETERA FEDERICO BASADRE KM. 111 J.V. LAS PALMERAS- SAN ALEJANDRO</t>
  </si>
  <si>
    <t> 550:DIESEL B2</t>
  </si>
  <si>
    <t>GRANDEZ KOGA, DIANA CAROLINA</t>
  </si>
  <si>
    <t>141147-057-040219</t>
  </si>
  <si>
    <t>CELSO CONDORI CATACORA</t>
  </si>
  <si>
    <t>A.H. JUAN VELASCO ALVARADO MZ. O LT. 01, CARRETERA TACNA-TARATA, KM. 85+966 SECTOR SACHAJAÑA</t>
  </si>
  <si>
    <t>139364-057-061118</t>
  </si>
  <si>
    <t>MULTISERVICIOS DURAND E.I.R.L.</t>
  </si>
  <si>
    <t>PARADERO N°3</t>
  </si>
  <si>
    <t>GOYLLARISQUIZGA</t>
  </si>
  <si>
    <t>OSCAR CHUMPITAZ DURAND RAMOS</t>
  </si>
  <si>
    <t>0002-ARCI-10-2006</t>
  </si>
  <si>
    <t>JUAN FREDY CAMACHO DOMINGUEZ</t>
  </si>
  <si>
    <t>KM. 356 CARRETERA LIMA- HUÁNUCO, JR. 10 DE JUNIO</t>
  </si>
  <si>
    <t>CAMACHO DOMINGUEZ, JUAN FREDY</t>
  </si>
  <si>
    <t>141799-057-090320</t>
  </si>
  <si>
    <t>VASQUEZ VASQUEZ GESSLY</t>
  </si>
  <si>
    <t>CARRETERA IQUITOS NAUTA KM. 14+500</t>
  </si>
  <si>
    <t>136699-057-040718</t>
  </si>
  <si>
    <t>GERONIMO VELAYSOSA MENDOZA</t>
  </si>
  <si>
    <t>JR. EL PORVENIR S/N DEL CENTRO POBLADO DE TRITA (LT.3, MZ. 5)</t>
  </si>
  <si>
    <t>TRITA</t>
  </si>
  <si>
    <t>131864-057-221018</t>
  </si>
  <si>
    <t>RODRIGUEZ BERNILLA ESTEBAN</t>
  </si>
  <si>
    <t>PROLONGACION MORONA S/N CARRETERA PISCOYACU-SAPOSOA</t>
  </si>
  <si>
    <t>0000007-PUN</t>
  </si>
  <si>
    <t>AMADOR AROAPAZA MAMANI</t>
  </si>
  <si>
    <t>KM. 9 CARRETERA ILAVE - TOTORANI COMUNIDAD CAMPESINA DE ANCCACCA</t>
  </si>
  <si>
    <t>AROAPAZA MAMANI, AMADOR</t>
  </si>
  <si>
    <t>96833-057-130512</t>
  </si>
  <si>
    <t>JUAN LUIS RIQUELME CAHUANA</t>
  </si>
  <si>
    <t>JR. TRELLES N° 108</t>
  </si>
  <si>
    <t>MACARI</t>
  </si>
  <si>
    <t> 110:GASOHOL 84 PLUS,220:DIESEL B5</t>
  </si>
  <si>
    <t>132950-057-201117</t>
  </si>
  <si>
    <t>WILLIAM MARCELO VICUÑA MELENDRES</t>
  </si>
  <si>
    <t xml:space="preserve">CARRETERA TOURNAVISTA KM. 09 -CASERIO MANCO CAPAC </t>
  </si>
  <si>
    <t>95811-057-030119</t>
  </si>
  <si>
    <t xml:space="preserve">MOISES PEREZ LLAMOCURI </t>
  </si>
  <si>
    <t>AV. MARGINAL S/N, SECTOR VILLA ASHANINGA - KM 80</t>
  </si>
  <si>
    <t>PICHANAQUI</t>
  </si>
  <si>
    <t>MOISES PEREZ LLAMOCURI</t>
  </si>
  <si>
    <t>0000006-HCO</t>
  </si>
  <si>
    <t>LORENZO ARGANDOÑA AVILA</t>
  </si>
  <si>
    <t>CARRETERA CENTRAL KM. 6, PUEBLO DE CHACAPAMPA</t>
  </si>
  <si>
    <t>ARGANDOÑA AVILA, LORENZO</t>
  </si>
  <si>
    <t>147561-057-091119</t>
  </si>
  <si>
    <t>JR. IGNACIO PUTPAÑA SALAS Y JR. COMERCIO C.P. MARISCAL CASTILLA</t>
  </si>
  <si>
    <t>0002-ARCI-16-2003</t>
  </si>
  <si>
    <t>HEYVI ISUIZA RODRÍGUEZ</t>
  </si>
  <si>
    <t>CALLE MALECÓN MARAÑÓN S/N ESQUINA CON CALLE TIGRE</t>
  </si>
  <si>
    <t>ISUIZA RODRIGUEZ, HEYVI</t>
  </si>
  <si>
    <t>145737-057-080819</t>
  </si>
  <si>
    <t>SANTIAGO JESUS CASTRO CERNA</t>
  </si>
  <si>
    <t>CALLE VICTOR JULIO ROSELL N° 210 CASERIO CARRAPALDAY ALTO</t>
  </si>
  <si>
    <t>120812-057-310716</t>
  </si>
  <si>
    <t>LOGISMAQ E.I.R.L.</t>
  </si>
  <si>
    <t>AV. HEROES DE LA GUERRA DEL PACIFICO S/N</t>
  </si>
  <si>
    <t> 55:GASOHOL 90 PLUS,55:GASOHOL 84 PLUS,220:DIESEL B5 S-50</t>
  </si>
  <si>
    <t>RIKCHA DAVID PICARDO MACHACA</t>
  </si>
  <si>
    <t>105335-057-011013</t>
  </si>
  <si>
    <t>ESTACION DE SERVICIOS NIKOL &amp; ANYELI E.I.R.L.</t>
  </si>
  <si>
    <t>AV. JORGE CHAVEZ S/N</t>
  </si>
  <si>
    <t>NANCY CRISPIN ENRIQUEZ</t>
  </si>
  <si>
    <t>0002-ARCI-16-2005</t>
  </si>
  <si>
    <t>ENRIQUE RIVERA PEREZ</t>
  </si>
  <si>
    <t>AV. PRINCIPAL KM 2 -C.P.M SARAMIRIZA</t>
  </si>
  <si>
    <t>RIVERA PEREZ, ENRIQUE</t>
  </si>
  <si>
    <t>38683-057-101012</t>
  </si>
  <si>
    <t>CHERLY ISMINIO LAO</t>
  </si>
  <si>
    <t xml:space="preserve">CARRETERA FERNANDO BELAUNDE TERRY KM.45 </t>
  </si>
  <si>
    <t>BUENOS AIRES</t>
  </si>
  <si>
    <t>107764-057-190214</t>
  </si>
  <si>
    <t>AQUINO LAURENCIO ANDERSON WILLIAMS</t>
  </si>
  <si>
    <t>CARRETERA MOLINO PANAO S/N BARRIO LOS ULCUMANOS</t>
  </si>
  <si>
    <t>109500-057-111219</t>
  </si>
  <si>
    <t>ANDRES MANUEL PABLO MELGAREJO</t>
  </si>
  <si>
    <t xml:space="preserve">PROLONGACION 28 DE JULIO S/N </t>
  </si>
  <si>
    <t>110282-057-070820</t>
  </si>
  <si>
    <t>SIXTO FLORES COSTILLAS</t>
  </si>
  <si>
    <t>CARRETERA ECHARATE KITENI TROCHA CARROZABLE KORIBENI, CENTRO POBLADO PALMA REAL.</t>
  </si>
  <si>
    <t>SIXTO FLORES COSTILLA</t>
  </si>
  <si>
    <t>102211-057-230413</t>
  </si>
  <si>
    <t>VICTORIA QUISPE TURPO</t>
  </si>
  <si>
    <t>CARRETERA ASFALTADA INTEROCEANICA SUR - SECTOR JUCHUY</t>
  </si>
  <si>
    <t>123702-057-290916</t>
  </si>
  <si>
    <t>ABIGAIL FLOR CRUZ ORTEGA</t>
  </si>
  <si>
    <t>CARRETERA QUIVILLA-LLATA-VIA PRINCIPAL</t>
  </si>
  <si>
    <t>DOS DE MAYO</t>
  </si>
  <si>
    <t>QUIVILLA</t>
  </si>
  <si>
    <t> 55:GASOHOL 95 PLUS,55:GASOHOL 90 PLUS,55:GASOHOL 84 PLUS,220:DIESEL B5</t>
  </si>
  <si>
    <t>0001-ARCI-16-2007</t>
  </si>
  <si>
    <t>SERVICIOS GENERALES ALEXANDRE E.I.R.L.</t>
  </si>
  <si>
    <t>CARRETERA YURIMAGUAS TARAPOTO KM 05</t>
  </si>
  <si>
    <t>AREVALO MONTALVAN, JORGE EDUARDO</t>
  </si>
  <si>
    <t>126004-057-160719</t>
  </si>
  <si>
    <t>JULIAN MANUEL VASQUEZ SOTO</t>
  </si>
  <si>
    <t>JR. JORGE CHAVEZ S/N MZ. 127 SECTOR LA MORADA.</t>
  </si>
  <si>
    <t>MARAÑON</t>
  </si>
  <si>
    <t>LA MORADA</t>
  </si>
  <si>
    <t>109619-057-170614</t>
  </si>
  <si>
    <t>MAURO MANUEL ESCOBAL CALDAS</t>
  </si>
  <si>
    <t xml:space="preserve">JR. LOPEZ ALBUJAR S/N </t>
  </si>
  <si>
    <t>TOMAY KICHWA</t>
  </si>
  <si>
    <t>149528-057-170320</t>
  </si>
  <si>
    <t xml:space="preserve">EUFEMIA TORRES FLOREZ </t>
  </si>
  <si>
    <t>COMUNIDAD CAMPESINA DE PFULLPE - PUENTE COYO USCAMARCA - SECTOR LLAULLI MOCCO, VIA ESPINAR - SANTO TOMAS - LLUSCO - QUIÑOTA</t>
  </si>
  <si>
    <t>20132-057-140715</t>
  </si>
  <si>
    <t xml:space="preserve">TUPAC SALAZAR ROCIO </t>
  </si>
  <si>
    <t>JR. RUFINO ECHENIQUE N° 255</t>
  </si>
  <si>
    <t>106902-057-050320</t>
  </si>
  <si>
    <t>RUT MAGALI TUPAYACHI QUILCA</t>
  </si>
  <si>
    <t>CARRETERA MARANURA-CUSCO, EN LA INTERSECCION DE LA AV. EDGAR DE LA TORRE Y CALLE JUAN VELASCO ALVARADO</t>
  </si>
  <si>
    <t>MARANURA</t>
  </si>
  <si>
    <t>106763-057-100214</t>
  </si>
  <si>
    <t>MAXIMILIANA ALEJANDRINA DOMINGUEZ MAIZ</t>
  </si>
  <si>
    <t>CASERIO SANTA CRUZ DE MATICHICO ALTURA DEL KM. 376 DE LA CARRETERA LIMA-HUANUCO</t>
  </si>
  <si>
    <t> 55:GASOHOL 84 PLUS,55:GASOHOL 90 PLUS</t>
  </si>
  <si>
    <t>83831-057-150615</t>
  </si>
  <si>
    <t>HUARACHA PERALTA ROMEO AMALEC</t>
  </si>
  <si>
    <t>CALLE CUSCO S/N</t>
  </si>
  <si>
    <t>PAMPAMARCA</t>
  </si>
  <si>
    <t>117702-057-090319</t>
  </si>
  <si>
    <t>CUSTODIO RENGIFO DIAZ</t>
  </si>
  <si>
    <t xml:space="preserve">PROLONGACION AV. INTERNACIONAL MZ. F.M., LOTE F.L. LOCALIDAD DE PUERTO BREU </t>
  </si>
  <si>
    <t>YURUA</t>
  </si>
  <si>
    <t>142625-057-170419</t>
  </si>
  <si>
    <t>VICTORIA VASQUEZ GONZALES</t>
  </si>
  <si>
    <t>JR. HUANUCO S/N CARRETERA HUANUCO - HUACAYBAMBA</t>
  </si>
  <si>
    <t>ARANCAY</t>
  </si>
  <si>
    <t>146689-057-110920</t>
  </si>
  <si>
    <t xml:space="preserve">ALFREDO MAMANI VELASQUEZ </t>
  </si>
  <si>
    <t>CENTRO POBLADO DE PENETRACION LACCO YAVERO</t>
  </si>
  <si>
    <t>138238-057-280818</t>
  </si>
  <si>
    <t>DAGOBERTO TARRILLO ZARATE</t>
  </si>
  <si>
    <t>AV. MICAELA BASTIDAS S/N SECTOR 2 MZA. 77 LOTE 27 (REF. CRUCE CON AV. CELSO CARBAJAL)</t>
  </si>
  <si>
    <t>114771-057-020715</t>
  </si>
  <si>
    <t>ALEX PASTOR FLORES VERA</t>
  </si>
  <si>
    <t>AV. CAJAMARCA S/N - LA PECA</t>
  </si>
  <si>
    <t>LA PECA</t>
  </si>
  <si>
    <t>0028-ARCI-21-2003</t>
  </si>
  <si>
    <t>IRINEO ELEODORO LUYCHO TURPO</t>
  </si>
  <si>
    <t>PROLONGACION AV. TUPAC AMARU S/N. BARRIO NUEVA ESPERANZA</t>
  </si>
  <si>
    <t>LUYCHO TURPO, IRINEO ELEODORO</t>
  </si>
  <si>
    <t>140936-057-240119</t>
  </si>
  <si>
    <t>MARUJA MAMANI JIMENEZ</t>
  </si>
  <si>
    <t>CALLE TACNA S/N, SACHAJAÑA O VILA CALA, LUPAJA-PUCARA VIEJO</t>
  </si>
  <si>
    <t>135852-057-070518</t>
  </si>
  <si>
    <t xml:space="preserve">MAIQUEN TORRES ROSA ESTHER </t>
  </si>
  <si>
    <t>JR. CIRCUNVALACION MZ. A LT. 03</t>
  </si>
  <si>
    <t> 9075:GASOLINA 90</t>
  </si>
  <si>
    <t> 30250:DIESEL B5</t>
  </si>
  <si>
    <t>102662-057-210613</t>
  </si>
  <si>
    <t>ABAD HERNANDEZ VASQUEZ</t>
  </si>
  <si>
    <t>CARRETERA FERNANDO BELAUNDE TERRY KM 232 - SECTOR SAN ANTONIO</t>
  </si>
  <si>
    <t>135720-057-270120</t>
  </si>
  <si>
    <t>COMERCIALIZACIONES ROY E.I.R.L.</t>
  </si>
  <si>
    <t>AV. HÉROES DEL PACÍFICO S/N, ASOC. DE VIVIENDA TALLER "NUEVO AMANECER" MZ. G - LOTE 6</t>
  </si>
  <si>
    <t>BRICENTA QUISPE OJEDA</t>
  </si>
  <si>
    <t>0001-ARCI-21-2006</t>
  </si>
  <si>
    <t>BENILDA LOURDES PILCO VILCA</t>
  </si>
  <si>
    <t>COMUNIDAD CAMPESINA PANCA QUIA</t>
  </si>
  <si>
    <t>PILCO VILCA, BENILDA LOURDES</t>
  </si>
  <si>
    <t>85621-057-140218</t>
  </si>
  <si>
    <t>CALLE 09 DE FEBRERO S/N, AA.HH. SANTA GEMA</t>
  </si>
  <si>
    <t>91439-057-221214</t>
  </si>
  <si>
    <t>FRANCISCO HUAMAN ATAUSUPA</t>
  </si>
  <si>
    <t>CARRETERA CUSCO-ABANCAY KM 45, COMUNIDAD DE ANCAHUASI MZ E - LOTE 10</t>
  </si>
  <si>
    <t>ANCAHUASI</t>
  </si>
  <si>
    <t>39582-057-2010</t>
  </si>
  <si>
    <t>NOLBERTO BERNARDINO PALACIOS HERNANDEZ</t>
  </si>
  <si>
    <t>CARRETERA BAGUA - EL MILAGRO KM. 2+700</t>
  </si>
  <si>
    <t>142342-057-150419</t>
  </si>
  <si>
    <t>ISABEL MARGARITA MELENDRES TRINIDAD</t>
  </si>
  <si>
    <t>BARRIO ESPERANZA C.P HUALLAMAYO KM. 68.750</t>
  </si>
  <si>
    <t> 55:GASOHOL 90 PLUS,275:Diesel B5 S-50</t>
  </si>
  <si>
    <t>149626-057-250620</t>
  </si>
  <si>
    <t xml:space="preserve">VILMA VALDEZ MAURI </t>
  </si>
  <si>
    <t>AV. PRINCIPAL CENTRO POBLADO DE SUNCHUBAMBA</t>
  </si>
  <si>
    <t>CHALLABAMBA</t>
  </si>
  <si>
    <t>135076-057-190318</t>
  </si>
  <si>
    <t xml:space="preserve">JULIAN FLORES QUISPE </t>
  </si>
  <si>
    <t>PREDIO PASTO GRANTE SECTOR 5, LOTE N° 2 MANZANA C</t>
  </si>
  <si>
    <t>18804-057-030418</t>
  </si>
  <si>
    <t>ODILA CHAMBI CHAHUARA</t>
  </si>
  <si>
    <t>ESQ. JR. RAMON CASTILLA N°113 Y JR. RUFINO ECHENIQUE BARRIO VISTA ALEGRE</t>
  </si>
  <si>
    <t>0003-ARCI-16-2006</t>
  </si>
  <si>
    <t>ROSA ANITA TUESTA ANGULO</t>
  </si>
  <si>
    <t>CARRETERA YURIMAGUAS TARAPOTO KM. 6+080</t>
  </si>
  <si>
    <t>TUESTA ANGULO, ROSA ANITA</t>
  </si>
  <si>
    <t>114152-057-060815</t>
  </si>
  <si>
    <t>YONATHAN ALEXANDER MENDOZA TORRES</t>
  </si>
  <si>
    <t>CARRETERA PANAMERICANA NORTE ANTIGUA KM. 880-CASCAJAL</t>
  </si>
  <si>
    <t>OLMOS</t>
  </si>
  <si>
    <t>141899-057-140319</t>
  </si>
  <si>
    <t xml:space="preserve">ALIPIO MERMA OLLACHICA </t>
  </si>
  <si>
    <t>COMUNIDAD CAMPESINA OCORURO- PARCELA CANLLIHUATA-TERRENO RUSTICO</t>
  </si>
  <si>
    <t>OCORURO</t>
  </si>
  <si>
    <t>137528-057-010818</t>
  </si>
  <si>
    <t>CUSICHE SANCHEZ FREUD WILDE</t>
  </si>
  <si>
    <t>BARRIO ESPERANZA VILLA SEPAHUA</t>
  </si>
  <si>
    <t>0002-ARCI-21-2003</t>
  </si>
  <si>
    <t>ROSARIO MIRANDA CONDORI</t>
  </si>
  <si>
    <t>CARRETERA PUNO - MOQUEGUA KM. 9.3 SECTOR KATAHUINI OCCOLAYA PARQUI</t>
  </si>
  <si>
    <t>MIRANDA CONDORI, ROSARIO</t>
  </si>
  <si>
    <t>20996-057-270218</t>
  </si>
  <si>
    <t>MELESIO LIMA TICONA</t>
  </si>
  <si>
    <t>AV. BUENOS AIRES S/N</t>
  </si>
  <si>
    <t>20054-057-150811</t>
  </si>
  <si>
    <t>BASILIA JARECCA AVALOS</t>
  </si>
  <si>
    <t>CARRETERA CHASQUI A CACHIPUCARA BARRIO PILCUYO</t>
  </si>
  <si>
    <t>148823-057-090220</t>
  </si>
  <si>
    <t>JACINTO MUÑOZ PONCE</t>
  </si>
  <si>
    <t>CARRETRA A HUAYLILLAS S/N PREDIO RIO GOCHIRCA, ANEXO URPAYCITO, CASERIO CHAGUALITO</t>
  </si>
  <si>
    <t>PATAZ</t>
  </si>
  <si>
    <t>TAYABAMBA</t>
  </si>
  <si>
    <t>42410-057-040612</t>
  </si>
  <si>
    <t>MULTISERVICIOS Y GRIFO DE LA CRUZ E.I.R.L.</t>
  </si>
  <si>
    <t>CARRETERA SARAMIRIZA - BAGUA KM. 18</t>
  </si>
  <si>
    <t> 495:DIESEL B5</t>
  </si>
  <si>
    <t>142640-057-170419</t>
  </si>
  <si>
    <t>NOLA DELICIA PEREZ ANDAHUA</t>
  </si>
  <si>
    <t>AV. REGIÓN CHAVÍN S/N – LOCALIDAD UCHUSQUILLO</t>
  </si>
  <si>
    <t>CARLOS F. FITZCARRALD</t>
  </si>
  <si>
    <t>SAN LUIS</t>
  </si>
  <si>
    <t>131281-057-100620</t>
  </si>
  <si>
    <t xml:space="preserve">DARMIT URTEAGA OLANO </t>
  </si>
  <si>
    <t>CARRETERA CAJAMARCA-CHACHAPOYAS KM. 424+500</t>
  </si>
  <si>
    <t>DARMIT URTEAGA OLANO</t>
  </si>
  <si>
    <t>0002-ARCI-06-2002</t>
  </si>
  <si>
    <t>MILTON ALIS RONCAL VILLAR</t>
  </si>
  <si>
    <t>Caserio La Colpa, Antes (Jr. Gonzales Prada N° 354)</t>
  </si>
  <si>
    <t>SAN MARCOS</t>
  </si>
  <si>
    <t>ICHOCAN</t>
  </si>
  <si>
    <t>RONCAL VILLAR, MILTON ALIS</t>
  </si>
  <si>
    <t>137576-057-200718</t>
  </si>
  <si>
    <t>DONATO RODRIGUEZ PALACIOS</t>
  </si>
  <si>
    <t>MZ. A-1 S/N</t>
  </si>
  <si>
    <t>RAHUAPAMPA</t>
  </si>
  <si>
    <t>96477-057-180618</t>
  </si>
  <si>
    <t>JOSE ANTONIO VASQUEZ SHUPINGAHUA</t>
  </si>
  <si>
    <t>JR. HUALLAGA CUADRA 03 SEGUNDO CUARTEL</t>
  </si>
  <si>
    <t>0002-ARCI-01-2002</t>
  </si>
  <si>
    <t>LIDER FLORIANO COLLAZOS VASQUEZ</t>
  </si>
  <si>
    <t>AV. AGROPECUARIO N° 535</t>
  </si>
  <si>
    <t>COLLAZOS VASQUEZ, LIDER FLORIANO</t>
  </si>
  <si>
    <t>0027-ARCI-21-2003</t>
  </si>
  <si>
    <t>LEANDRO TURPO VILCA</t>
  </si>
  <si>
    <t>TURPO VILCA, LEANDRO</t>
  </si>
  <si>
    <t>0015-ARCI-21-2002</t>
  </si>
  <si>
    <t>AGUSTIN MAMANI CONTRERAS</t>
  </si>
  <si>
    <t>AV. ILAVE MZ. Ñ LTE. 10 CARRETERA ILAVE-TOTORANI KM. 19+600 CPM TOTORANI</t>
  </si>
  <si>
    <t>MAMANI CONTRERAS, AGUSTIN</t>
  </si>
  <si>
    <t>151425-057-031020</t>
  </si>
  <si>
    <t>HERRERA ECHEVARRIA EDINSON DABID</t>
  </si>
  <si>
    <t>AV MIRKO CUCULIZA S/N PUERTO MAYRO</t>
  </si>
  <si>
    <t>OXAPAMPA</t>
  </si>
  <si>
    <t>PALCAZU</t>
  </si>
  <si>
    <t>0002-ARCI-01-2001</t>
  </si>
  <si>
    <t>ABRAHAM CASTAÑEDA VERA</t>
  </si>
  <si>
    <t>KM 2.5 CARRETERA BAGUA - CENTRO POBLADO MENOR TOMAQUE</t>
  </si>
  <si>
    <t>CASTAÑEDA VERA, ABRAHAM</t>
  </si>
  <si>
    <t>116388-057-260220</t>
  </si>
  <si>
    <t xml:space="preserve">IRMA DELFINA LEONARDO YANA </t>
  </si>
  <si>
    <t>AV. PRINCIPAL DE LA COMUNIDAD CAMPESINA DE SALLACONI S/N</t>
  </si>
  <si>
    <t>144340-057-030619</t>
  </si>
  <si>
    <t xml:space="preserve">GREGORIO TTITO QUISPE </t>
  </si>
  <si>
    <t xml:space="preserve">CARRETERA CUSCO - ACOMAYO COMUNIDAD DE CHILCHICAYA </t>
  </si>
  <si>
    <t>0004-GRRU-16-2006</t>
  </si>
  <si>
    <t>NICANOR BECERRA GARCIA</t>
  </si>
  <si>
    <t>AV. PRINCIPAL S/N KM. 1 - SARAMIRIZA</t>
  </si>
  <si>
    <t>BECERRA GARCIA, NICANOR</t>
  </si>
  <si>
    <t>0006-ARCI-21-2003</t>
  </si>
  <si>
    <t>LOLA DOMITILA GUEVARA HUANACUNI</t>
  </si>
  <si>
    <t>CARRETERA CHASQUI - CACHIPUCARA KM. 4, BARRIO PILCUYO</t>
  </si>
  <si>
    <t>GUEVARA HUANACUNI, LOLA DOMITILA</t>
  </si>
  <si>
    <t>43022-057-140814</t>
  </si>
  <si>
    <t>ROSA CHUZON CRISANTO</t>
  </si>
  <si>
    <t>CARRETERA FERNANDO BELAUNDE TERRY KM. 60 + 714 - CASERIO NUEVO HUALAPAMPA</t>
  </si>
  <si>
    <t>127631-057-060917</t>
  </si>
  <si>
    <t xml:space="preserve">JAVIER RODRIGUEZ OLORTEGUI </t>
  </si>
  <si>
    <t>AV. 24 DE ABRIL MZ. 3 LT. 05</t>
  </si>
  <si>
    <t>PURUS</t>
  </si>
  <si>
    <t>JAVIER RODRIGUEZ OLORTEGUI</t>
  </si>
  <si>
    <t>20045-057-150811</t>
  </si>
  <si>
    <t>JAIME HUALPA CHOQUE</t>
  </si>
  <si>
    <t>AV. PUNO S/N.</t>
  </si>
  <si>
    <t>18276-057-030313</t>
  </si>
  <si>
    <t xml:space="preserve">ANGEL RENE MAYTA FLORES </t>
  </si>
  <si>
    <t>VIA PUNO - YUNGUYO - TINICACHI KM. 129 SECTOR KALAMPUNI CENTRO POBLADO MENOR DE POCCONA</t>
  </si>
  <si>
    <t>0002-ARCI-01-2004</t>
  </si>
  <si>
    <t>PARAJE J.P. RABANAL E.I.R.L.</t>
  </si>
  <si>
    <t>SECTOR CASUAL KM. 17.5 CARRETERA REPOSO - IMAZA</t>
  </si>
  <si>
    <t>IMAZA</t>
  </si>
  <si>
    <t>PALACIOS RABANAL, JAVIER ELVIS</t>
  </si>
  <si>
    <t>131795-057-210917</t>
  </si>
  <si>
    <t>ELZA SALAS GOMEZ</t>
  </si>
  <si>
    <t>JR. VIRGEN DE FATIMA S/N CENTRO POBLADO DE CHAVINILLO SECTOR SAN JUAN</t>
  </si>
  <si>
    <t>42849-057-230914</t>
  </si>
  <si>
    <t xml:space="preserve">N. J. KENEDDY`S E.I.R.L. </t>
  </si>
  <si>
    <t>CARRETERA CENTRAL KM. 61-ANEXO VALDIVIA</t>
  </si>
  <si>
    <t>PALCA</t>
  </si>
  <si>
    <t> 55:DIESEL B5,55:DIESEL B5,330:DIESEL B5</t>
  </si>
  <si>
    <t>NERIDA EPIFANIA JULCARIMA TEJEDA</t>
  </si>
  <si>
    <t>148071-057-041219</t>
  </si>
  <si>
    <t>PUERTAS DOMINGUEZ ELI</t>
  </si>
  <si>
    <t>AV. 24 DE ABRIL S/N</t>
  </si>
  <si>
    <t>139744-057-221118</t>
  </si>
  <si>
    <t>ORLANDO CANCINO SANCHEZ</t>
  </si>
  <si>
    <t>MZ 75 - LOTE 9 - PROLONGACION CALLE TARAPACA</t>
  </si>
  <si>
    <t>37440-057-130313</t>
  </si>
  <si>
    <t>DIONICIO PONCE CHECALLA</t>
  </si>
  <si>
    <t>JR. ROBERTO BARRIGA N° 356 LARAQUERI</t>
  </si>
  <si>
    <t>17940-057-090414</t>
  </si>
  <si>
    <t xml:space="preserve">CELIA FLORES CCOA </t>
  </si>
  <si>
    <t>AV. TRANSOCEANICA S/N. COMUNIDAD CAMPESINA PACAJE KM. 10 CARRETERA MACUSANI</t>
  </si>
  <si>
    <t>110155-057-200714</t>
  </si>
  <si>
    <t>CLAUDINA CIEZA BENAVIDES</t>
  </si>
  <si>
    <t xml:space="preserve">CALLE DANIEL ALCIDES CARRION S/N CENTRO POBLADO </t>
  </si>
  <si>
    <t>0058-ARCI-21-2001</t>
  </si>
  <si>
    <t>TIMOTEO ORIHUELA LLUNGO</t>
  </si>
  <si>
    <t>JR. RAMON CASTILLA ESQ. JR. 8 DE OCTUBRE SALIDA DE JULIACA S/N.</t>
  </si>
  <si>
    <t>ORIHUELA LLUNGO, TIMOTEO</t>
  </si>
  <si>
    <t>138862-057-280918</t>
  </si>
  <si>
    <t xml:space="preserve">JORGE SANGA SANCA </t>
  </si>
  <si>
    <t>CARRETERA UNOCOLLO-KOKAN KM.1+585 C.C. UNOCOLLO PREDIO CHEJOLLANI RAMA MOCCO ESTANCIA</t>
  </si>
  <si>
    <t>21194-057-140115</t>
  </si>
  <si>
    <t>ESTACION DE SERVICIO EL PUERTO S.R.L.</t>
  </si>
  <si>
    <t>JR. VARGAS GUERRA Nº 101</t>
  </si>
  <si>
    <t>ALLEN GINO WILLIAM DEL AGUILA RIOS</t>
  </si>
  <si>
    <t>91532-057-130313</t>
  </si>
  <si>
    <t>AURORA APAZA MAMANI</t>
  </si>
  <si>
    <t>COMUNIDAD ACCOPATA SECTOR MESETA BAJA</t>
  </si>
  <si>
    <t>107626-057-240715</t>
  </si>
  <si>
    <t>EDGAR DIEFERSON MAMANI YUCRA</t>
  </si>
  <si>
    <t>CARRETERA ASFALTADA JULIACA HUANCANÉ KM. 38+400 CENTRO POBLADO PUQUIS.</t>
  </si>
  <si>
    <t>145409-057-121219</t>
  </si>
  <si>
    <t xml:space="preserve">EFRAIN CHAMBILLA ILLACUTIPA </t>
  </si>
  <si>
    <t>CARRETERA KELLUYO - CHOCOCOLLO COMUNIDAD MAYCU PHUJO</t>
  </si>
  <si>
    <t>124344-057-200718</t>
  </si>
  <si>
    <t>INVERSIONES HERMANOS CONZA &amp; ASOCIADOS S.A.C.</t>
  </si>
  <si>
    <t>SECTOR PATACONCHA - CENTRO POBLADO DE AMPARAES</t>
  </si>
  <si>
    <t xml:space="preserve">JULIO CESAR CONZA OJEDA </t>
  </si>
  <si>
    <t>148070-057-061219</t>
  </si>
  <si>
    <t>JESUS HANMERLI HUANCAS BARRIOS</t>
  </si>
  <si>
    <t>PREDIO RUSTICO SANTA ROSA - CASERIO WAWICO S/N</t>
  </si>
  <si>
    <t>0000128-PUN</t>
  </si>
  <si>
    <t>RUBEN BILVOA YUPANQUI CHURA</t>
  </si>
  <si>
    <t>CARRETERA BINACIONAL DESAGUADERO ILO KM. 18 COMUNIDAD CAMPESINA JAUERJA MAMANIRI</t>
  </si>
  <si>
    <t>YUPANQUI CHURA, RUBEN BILVOA</t>
  </si>
  <si>
    <t>0006-ARCI-01-2003</t>
  </si>
  <si>
    <t>PROLONGACION AV. EL EJERCITO S/N - SALIDA A EL REPOSO</t>
  </si>
  <si>
    <t>34487-057-021018</t>
  </si>
  <si>
    <t>VIRGINIA CÉSPEDES CONDORI</t>
  </si>
  <si>
    <t>JR. JULIACA S/N. SALIDA A JULIACA</t>
  </si>
  <si>
    <t>99589-057-241018</t>
  </si>
  <si>
    <t>PASAJE LA GLORIA MZ 06 LOTE Nº 01-A- SAN LORENZO</t>
  </si>
  <si>
    <t>0032-ARCI-21-2003</t>
  </si>
  <si>
    <t>RAUL QUISPE ZEVALLOS</t>
  </si>
  <si>
    <t>JIRON RAMON CASTILLA S/N.</t>
  </si>
  <si>
    <t>QUISPE ZEBALLOS, RAUL</t>
  </si>
  <si>
    <t>20044-057-130918</t>
  </si>
  <si>
    <t>JUAN TICONA AROHUATA</t>
  </si>
  <si>
    <t>CARRETERA PANAMERICANA JULI - POMATA, KM. 90 CENTRO POBLADO MENOR MOLINO</t>
  </si>
  <si>
    <t>145646-057-050819</t>
  </si>
  <si>
    <t xml:space="preserve">ROGERS MENDOZA MORALES </t>
  </si>
  <si>
    <t>PROLONGACION BOLIVAR S/N</t>
  </si>
  <si>
    <t>APURIMAC</t>
  </si>
  <si>
    <t>ANTABAMBA</t>
  </si>
  <si>
    <t> 165:GASOHOL 90 PLUS,275:Diesel B5 S-50</t>
  </si>
  <si>
    <t>117921-057-091115</t>
  </si>
  <si>
    <t>FERMIN SALVATIERRA TENORIO</t>
  </si>
  <si>
    <t>AV. LOS MOROCHUCOS BARRIO CORAS PAMPA - PAMPA CANGALLO</t>
  </si>
  <si>
    <t>CANGALLO</t>
  </si>
  <si>
    <t>LOS MOROCHUCOS</t>
  </si>
  <si>
    <t>143106-057-160519</t>
  </si>
  <si>
    <t xml:space="preserve">WALTER RAMON CRUZ CHUCTAYA </t>
  </si>
  <si>
    <t xml:space="preserve">CALLE AREQUIPA SECTOR CANTERA </t>
  </si>
  <si>
    <t>142623-057-170419</t>
  </si>
  <si>
    <t xml:space="preserve">JUSTINA DE LA CRUZ ORTIZ </t>
  </si>
  <si>
    <t>JR. JORGE CHAVEZ S/N</t>
  </si>
  <si>
    <t>0001-ARCI-12-2005</t>
  </si>
  <si>
    <t xml:space="preserve">ANTONIO MARCELO </t>
  </si>
  <si>
    <t>KM 21+000 CARRETERA CENTRAL LA OROYA - CERRO DE PASCO ANEXO LAS VEGAS</t>
  </si>
  <si>
    <t> 165:DIESEL B2</t>
  </si>
  <si>
    <t> 110:DIESEL B2</t>
  </si>
  <si>
    <t>LANDA CAMARGO, ANTONIO MARCELO</t>
  </si>
  <si>
    <t>0003-ARCI-22-2006</t>
  </si>
  <si>
    <t>RENE PEREZ TUANAMA</t>
  </si>
  <si>
    <t>CARRETERA SAN JOSE DE SISA - BELLAVISTA KM 0+200 CASERIO 20 DE MAYO</t>
  </si>
  <si>
    <t>PEREZ TUAMANA, RENE</t>
  </si>
  <si>
    <t>136914-057-040718</t>
  </si>
  <si>
    <t xml:space="preserve">ELMINA VELA SAAVEDRA </t>
  </si>
  <si>
    <t>CARRETERA FERNANDO BELAUNDE TERRY KM 703</t>
  </si>
  <si>
    <t>116206-057-170119</t>
  </si>
  <si>
    <t>INVERSIONES ALBERCA E.I.R.L</t>
  </si>
  <si>
    <t>CALLE SAUCE C-2 CENTRO POBLADO 8 DE JULIO</t>
  </si>
  <si>
    <t>LLACSAHUANGA ALBERCA ISMAEL</t>
  </si>
  <si>
    <t>34797-057-070513</t>
  </si>
  <si>
    <t>WILBER ALFREDO GUEVARA HUANACUNI</t>
  </si>
  <si>
    <t>CARRETERA CHASQUI - CHIPANA KM. 3.5</t>
  </si>
  <si>
    <t>21721-057-220313</t>
  </si>
  <si>
    <t>DOMINGO HIRPANOCCA QUISPE</t>
  </si>
  <si>
    <t>AV. SAN ROMAN S/N BARRIO MIRAFLORES</t>
  </si>
  <si>
    <t>123785-057-060418</t>
  </si>
  <si>
    <t xml:space="preserve">JOSE DAVID PAZ VARGAS </t>
  </si>
  <si>
    <t xml:space="preserve">CALLE TRES CRUCES NRO. S/N SECTOR CENTRO POBLADO DE PASTO GRANDE </t>
  </si>
  <si>
    <t>JOSE DAVID PAZ VARGAS</t>
  </si>
  <si>
    <t>142898-057-300419</t>
  </si>
  <si>
    <t xml:space="preserve">SIXTO CASCAMAYTA CASCAMAYTA </t>
  </si>
  <si>
    <t>COMUNIDAD UNION CHAHUAY, SECTOR SACHACANCHA</t>
  </si>
  <si>
    <t>108853-057-260514</t>
  </si>
  <si>
    <t>LUIS ALBERTO CAYLLAHUA SALINAS</t>
  </si>
  <si>
    <t xml:space="preserve">LOCALIDAD SAN FRANCISCO COMUNIDAD JATUNSAYNA KM. 3.5 VIA MACARI </t>
  </si>
  <si>
    <t>33341-057-240313</t>
  </si>
  <si>
    <t>PREDIO PUTIRILAKA QUELCA OPUJANI KM. 11.5 CARRETERA ILAVE-TOTORANI Y DESV. NORTE CAR. A QUELCA K. 8</t>
  </si>
  <si>
    <t>102686-057-100817</t>
  </si>
  <si>
    <t>JOHN ALEXANDER CARBAJAL MEDINA</t>
  </si>
  <si>
    <t>CARRETERA TAYABAMBA-HUAYLIAS SECTOR LA ESTRELLA (CAMINO AL RIO GOCHIRCA)</t>
  </si>
  <si>
    <t>20023-057-010413</t>
  </si>
  <si>
    <t>REBECA RICRA HINOSTROZA</t>
  </si>
  <si>
    <t>PLAZUELA SUCRE N° 227</t>
  </si>
  <si>
    <t>142616-057-110419</t>
  </si>
  <si>
    <t xml:space="preserve">CASIANA MOLINA QUISPE </t>
  </si>
  <si>
    <t xml:space="preserve">TROCHA CARROZABLE PAUCARTAMBO - KALLACANCHA </t>
  </si>
  <si>
    <t>128962-057-100717</t>
  </si>
  <si>
    <t>TERESA RINA AURIS QUISPE</t>
  </si>
  <si>
    <t xml:space="preserve">KM. 148 DE LA VIA PISCO – AYACUCHO ANEXO VIA LOS LIBERTADORES </t>
  </si>
  <si>
    <t>123248-057-081020</t>
  </si>
  <si>
    <t xml:space="preserve">LUISA ATANACIO TRINIDAD </t>
  </si>
  <si>
    <t>LOTE HUERCAJAGAY PUEBLO SANTO TORIBIO LA PUNTA</t>
  </si>
  <si>
    <t>UMARI</t>
  </si>
  <si>
    <t>0008-ARCI-21-2009</t>
  </si>
  <si>
    <t>GABINO CRISPIN ZAPATA VILCA</t>
  </si>
  <si>
    <t>CENTRO POBLADO MUNAYPA, SECTOR CHUSICANI</t>
  </si>
  <si>
    <t>INCHUPALLA</t>
  </si>
  <si>
    <t>ZAPATA VILCA, GABINO CRISPIN</t>
  </si>
  <si>
    <t>113148-057-301017</t>
  </si>
  <si>
    <t>GRIFO RURAL JOSUE E.I.R.L.</t>
  </si>
  <si>
    <t>JR. MARAÑON MZ. 72, LOTE 13, I ETAPA DE LOTIZACIÓN DE LA CIUDAD DE SAN LORENZO</t>
  </si>
  <si>
    <t> 110:DIESEL B5</t>
  </si>
  <si>
    <t>RENAN LEON CRUZ</t>
  </si>
  <si>
    <t>146774-057-021019</t>
  </si>
  <si>
    <t>ROMERO GRANDEZ JORGE</t>
  </si>
  <si>
    <t>CA. AREQUIPA S/N SECTOR 2, MZ 4, LTE 7 - EL ESTRECHO</t>
  </si>
  <si>
    <t>89231-057-2011</t>
  </si>
  <si>
    <t>SULLY CLARIBEL ZAGACETA CHUQUINBALQUI</t>
  </si>
  <si>
    <t>AV. SACSAYHUAMAN CUADRA 09 - PEDRO RUIZ GALLO</t>
  </si>
  <si>
    <t>JAZAN</t>
  </si>
  <si>
    <t>17901-057-260618</t>
  </si>
  <si>
    <t>TIBURCIO JARATA MAMANI</t>
  </si>
  <si>
    <t>CARRETERA ANTAUTA - MINA SAN RAFAEL KM. 0.5</t>
  </si>
  <si>
    <t>21501-057-200912</t>
  </si>
  <si>
    <t xml:space="preserve">KENIDES RODRIGUEZ RAMIREZ </t>
  </si>
  <si>
    <t>JR. TUPAC AMARU S/N KM. 32 - CR. SAN JOSE DE SISA C.P.M. CONSUELO</t>
  </si>
  <si>
    <t>SAN PABLO</t>
  </si>
  <si>
    <t>KENIDES RODRIGUEZ RAMIREZ</t>
  </si>
  <si>
    <t>111331-057-301018</t>
  </si>
  <si>
    <t>MULTISERVICIOS ALTO BIAVO S.A.C.</t>
  </si>
  <si>
    <t>CARRETERA CUZCO - JOSE OLAYA S/N - CUZCO</t>
  </si>
  <si>
    <t>SINTI VASQUEZ KELVIN ALBERTO</t>
  </si>
  <si>
    <t>120376-057-290316</t>
  </si>
  <si>
    <t>LAGUNA VEGA MAURA</t>
  </si>
  <si>
    <t>CARRETERA MASIN HUARI, PREDIO TARAPAMPA S/N</t>
  </si>
  <si>
    <t>21022-057-090112</t>
  </si>
  <si>
    <t>ANIBAL BERNABE CACERES SALAS</t>
  </si>
  <si>
    <t>AV. LIMBANI ESQ. CALLE AREQUIPA N° 403, CENTRO POBLADO CARLOS GUTIERREZ ZAMORA</t>
  </si>
  <si>
    <t>20078-057-170216</t>
  </si>
  <si>
    <t>CELESTINO DIAZ MAYTA</t>
  </si>
  <si>
    <t>CALLE LIBERTAD S/N.</t>
  </si>
  <si>
    <t>128846-057-210717</t>
  </si>
  <si>
    <t>GONZALO FUSTAMANTE DÍAZ</t>
  </si>
  <si>
    <t>SECTOR SANTA ROSA ALTO,CARRETERA CHOTA CUYUMALCA KM 2,67</t>
  </si>
  <si>
    <t>146765-057-300919</t>
  </si>
  <si>
    <t>SILVA DELGADO SANTIAGO SALVADOR</t>
  </si>
  <si>
    <t> 440:DIESEL B5</t>
  </si>
  <si>
    <t>20052-057-240313</t>
  </si>
  <si>
    <t>RAUL LUPACA JARECA</t>
  </si>
  <si>
    <t>PARCIALIDAD PERCATUYO, CARRETERA ILAVE - JAYU JAYU CAMICACHI</t>
  </si>
  <si>
    <t>146737-057-270919</t>
  </si>
  <si>
    <t>SORIA MENDOZA JULIA MARGARITA</t>
  </si>
  <si>
    <t>VIA DE EVITAMIENTO S/N CENTRO POBLADO MENOR DE CONDORCOCHA</t>
  </si>
  <si>
    <t>LA UNION</t>
  </si>
  <si>
    <t>121787-057-011116</t>
  </si>
  <si>
    <t>JAIME JUSTINIANO CALIXTO PIO</t>
  </si>
  <si>
    <t>CARRETERA SAN LUIS -PSICOBAMBA S/N CRUCE MUCHCAS</t>
  </si>
  <si>
    <t>146168-057-270819</t>
  </si>
  <si>
    <t xml:space="preserve">LUCIO HUACHACA BELLIDO </t>
  </si>
  <si>
    <t>CARRETERA LIVICATA SICUANI CUSCO- CENTRO POBLADO LIVITACA LOTE 1 MZ. H1</t>
  </si>
  <si>
    <t>147618-057-181119</t>
  </si>
  <si>
    <t>RIOS DE HOYLE SELVA SOLEDAD</t>
  </si>
  <si>
    <t>AV. LUIS MUÑOZ NADAL MZ. N° 15 LT. N° 3</t>
  </si>
  <si>
    <t>21502-057-190113</t>
  </si>
  <si>
    <t>MARIA TOMANGUILLA VISALOT</t>
  </si>
  <si>
    <t>ESQUINA AV. CAHUIDE CON JR. TRIGOSO REYNA S/N PEDRO RUIZ</t>
  </si>
  <si>
    <t>148320-057-141219</t>
  </si>
  <si>
    <t>TICONA BELIZARIO TITO RENZO</t>
  </si>
  <si>
    <t>AV. JULIACA S/N MZ. E-3 LOTE 10, CENTRO POBLADO SUCASCO</t>
  </si>
  <si>
    <t>115914-057-171017</t>
  </si>
  <si>
    <t>RODRIGUEZ RODRIGUEZ WILBERT</t>
  </si>
  <si>
    <t>AVENIDA LIBERTAD MZ. L LOTE 4</t>
  </si>
  <si>
    <t>123971-057-241116</t>
  </si>
  <si>
    <t>MARIA ESTHER QUINCHO QUINTANILLA</t>
  </si>
  <si>
    <t>AV. LOS LIBERTADORES LT. 14 MZ. V</t>
  </si>
  <si>
    <t>CASTROVIRREYNA</t>
  </si>
  <si>
    <t>0000130-PUN</t>
  </si>
  <si>
    <t>PRESENTINA MAMANI QUISPE</t>
  </si>
  <si>
    <t>CALLE AZANGARO S/N.</t>
  </si>
  <si>
    <t>SAN JOSE</t>
  </si>
  <si>
    <t>MAMANI QUISPE, PRESENTINA</t>
  </si>
  <si>
    <t>40167-057-120120</t>
  </si>
  <si>
    <t>GRIFO RURAL SHELISA E.I.R.L.</t>
  </si>
  <si>
    <t>CARRETERA IQUITOS - NAUTA KM. 22</t>
  </si>
  <si>
    <t>SHEYLA MAGDALENA RUBIÑOS BARTENS</t>
  </si>
  <si>
    <t>40854-057-260917</t>
  </si>
  <si>
    <t>ZARELA CHANCHARI TELLO</t>
  </si>
  <si>
    <t>ESQ AV 28 DE JULIO CON CALLE TACNA - C.P.M. SAN LORENZO</t>
  </si>
  <si>
    <t>0002-ARCI-16-2002</t>
  </si>
  <si>
    <t>DISTRIBUIDORA M&amp;M S.C.R.L</t>
  </si>
  <si>
    <t>PSJE. 3 Y CALLE 28 DE JULIO MZ. 11 LT. 11 C. P. EL ESTRECHO</t>
  </si>
  <si>
    <t>SUNCION DE RUIZ, MANUELA</t>
  </si>
  <si>
    <t>111911-057-280315</t>
  </si>
  <si>
    <t>GRIFO PATITO E.I.R.L.</t>
  </si>
  <si>
    <t>CARRETERA IQUITOS NAUTA KM 39.760</t>
  </si>
  <si>
    <t>WALTER CESPEDES GONZALES</t>
  </si>
  <si>
    <t>120224-057-030516</t>
  </si>
  <si>
    <t>NILO GAMARRA ECHEVARRIA</t>
  </si>
  <si>
    <t>JR. SANTO DOMINGO S/N BARRIO CEBADA LOMA</t>
  </si>
  <si>
    <t>137642-057-270718</t>
  </si>
  <si>
    <t>AVELINO MONTOYA SILVA</t>
  </si>
  <si>
    <t>CARRETERA CENTRAL LA UNION - HUANUCO KM 336, CHOGERRAGRA</t>
  </si>
  <si>
    <t>CHUQUIS</t>
  </si>
  <si>
    <t>140126-057-041218</t>
  </si>
  <si>
    <t>NELLY CONCEPCIÓN CALCINA GARATE</t>
  </si>
  <si>
    <t>CALLE CARABAYA S/N</t>
  </si>
  <si>
    <t>144341-057-121020</t>
  </si>
  <si>
    <t>INVERSIONES LINSTRAC SOCIEDAD ANONIMA CERRADA</t>
  </si>
  <si>
    <t xml:space="preserve">CALLE PROLONGACION LORETO S/N </t>
  </si>
  <si>
    <t>HUAMANI CHANCAHUAÑA HENRY</t>
  </si>
  <si>
    <t>136505-057-010618</t>
  </si>
  <si>
    <t xml:space="preserve">ESPIRITO ANCALLA HUAMANI </t>
  </si>
  <si>
    <t>COMUNIDAD ORCCOMA, ANEXO BUENA VISTA S/N</t>
  </si>
  <si>
    <t>139646-057-191118</t>
  </si>
  <si>
    <t>EMELINA LARA SALDAÑA</t>
  </si>
  <si>
    <t>CENTRO POBLADO EL PROGRESO S/N (REF. SALIDA A SAN MARTÍN KM. 357 + 80)</t>
  </si>
  <si>
    <t>0002-GRRU-16-2006</t>
  </si>
  <si>
    <t>JORGE CARDENAS SALDAÑA</t>
  </si>
  <si>
    <t>YURIMAGUAS - TARAPOTO KM.07</t>
  </si>
  <si>
    <t>CARDENAS SALDAÑA, JORGE</t>
  </si>
  <si>
    <t>93138-057-091211</t>
  </si>
  <si>
    <t>HERMELINDA LUZ GARCIA GUEVARA</t>
  </si>
  <si>
    <t>CALLE MARISCAL CACERES Y CALLE DADOS ETERNOS S/N</t>
  </si>
  <si>
    <t> 57:GASOHOL 84 PLUS</t>
  </si>
  <si>
    <t> 57:GASOHOL 90 PLUS</t>
  </si>
  <si>
    <t>133899-057-070118</t>
  </si>
  <si>
    <t>REIMUNDA TRUJILLO HUERTA</t>
  </si>
  <si>
    <t>BARRIO NUEVA ESPERANZA S/N PUEBLO DE MASIN</t>
  </si>
  <si>
    <t>105692-057-211013</t>
  </si>
  <si>
    <t>LUBRICENTRO DON CIRIO E.I.R.L.</t>
  </si>
  <si>
    <t>CARRETERA CAJAMARCA - CAJABAMBA KM 076+050 CASERIO LA TOTORILLA</t>
  </si>
  <si>
    <t xml:space="preserve">CIRO ELI SALDAÑA SANCHEZ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</si>
</sst>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8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 style="thin">
        <color rgb="FF000080"/>
      </right>
      <top style="thin">
        <color rgb="FF000080"/>
      </top>
      <bottom style="thin">
        <color rgb="FF00008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14" fontId="0" fillId="34" borderId="10" xfId="0" applyNumberFormat="1" applyFill="1" applyBorder="1" applyAlignment="1">
      <alignment wrapText="1"/>
    </xf>
    <xf numFmtId="0" fontId="16" fillId="0" borderId="0" xfId="0" applyFont="1" applyAlignment="1">
      <alignment horizontal="center" wrapText="1"/>
    </xf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srvtest03.osinerg.gob.pe:23314/msfh5/images/Logo-azul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832513</xdr:colOff>
      <xdr:row>3</xdr:row>
      <xdr:rowOff>47767</xdr:rowOff>
    </xdr:to>
    <xdr:pic>
      <xdr:nvPicPr>
        <xdr:cNvPr id="1025" name="Picture 1" descr="Logo Osinergmin"/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70997" cy="58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25"/>
  <sheetViews>
    <sheetView showGridLines="0" tabSelected="1" workbookViewId="0">
      <selection activeCell="A2" sqref="A2:X2"/>
    </sheetView>
  </sheetViews>
  <sheetFormatPr baseColWidth="10" defaultRowHeight="14" x14ac:dyDescent="0.3"/>
  <cols>
    <col min="1" max="1" width="3.8984375" customWidth="1"/>
    <col min="2" max="2" width="13.796875" customWidth="1"/>
    <col min="3" max="3" width="19.5" bestFit="1" customWidth="1"/>
    <col min="4" max="4" width="17.59765625" bestFit="1" customWidth="1"/>
    <col min="5" max="5" width="11.8984375" bestFit="1" customWidth="1"/>
    <col min="6" max="7" width="44.796875" bestFit="1" customWidth="1"/>
    <col min="8" max="8" width="15.19921875" bestFit="1" customWidth="1"/>
    <col min="9" max="9" width="24.69921875" bestFit="1" customWidth="1"/>
    <col min="10" max="10" width="29.09765625" bestFit="1" customWidth="1"/>
    <col min="11" max="15" width="44.796875" bestFit="1" customWidth="1"/>
    <col min="16" max="16" width="37.3984375" bestFit="1" customWidth="1"/>
    <col min="17" max="17" width="20" bestFit="1" customWidth="1"/>
    <col min="18" max="18" width="44.796875" bestFit="1" customWidth="1"/>
    <col min="19" max="19" width="18.8984375" bestFit="1" customWidth="1"/>
    <col min="20" max="20" width="21.09765625" bestFit="1" customWidth="1"/>
    <col min="21" max="21" width="16.8984375" bestFit="1" customWidth="1"/>
    <col min="22" max="22" width="12.19921875" bestFit="1" customWidth="1"/>
    <col min="23" max="23" width="20.3984375" bestFit="1" customWidth="1"/>
    <col min="24" max="24" width="42.3984375" bestFit="1" customWidth="1"/>
  </cols>
  <sheetData>
    <row r="2" spans="1:24" ht="14" customHeight="1" x14ac:dyDescent="0.3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6" spans="1:24" x14ac:dyDescent="0.3">
      <c r="A6" s="1" t="s">
        <v>1</v>
      </c>
      <c r="B6" s="2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  <c r="O6" s="1" t="s">
        <v>15</v>
      </c>
      <c r="P6" s="1" t="s">
        <v>16</v>
      </c>
      <c r="Q6" s="1" t="s">
        <v>17</v>
      </c>
      <c r="R6" s="1" t="s">
        <v>18</v>
      </c>
      <c r="S6" s="1" t="s">
        <v>19</v>
      </c>
      <c r="T6" s="1" t="s">
        <v>20</v>
      </c>
      <c r="U6" s="1" t="s">
        <v>21</v>
      </c>
      <c r="V6" s="1" t="s">
        <v>22</v>
      </c>
      <c r="W6" s="1" t="s">
        <v>23</v>
      </c>
      <c r="X6" s="1" t="s">
        <v>24</v>
      </c>
    </row>
    <row r="7" spans="1:24" ht="27.95" x14ac:dyDescent="0.3">
      <c r="A7" s="3">
        <v>1</v>
      </c>
      <c r="B7" s="3" t="str">
        <f>"201900148883"</f>
        <v>201900148883</v>
      </c>
      <c r="C7" s="3">
        <v>146519</v>
      </c>
      <c r="D7" s="3" t="s">
        <v>25</v>
      </c>
      <c r="E7" s="3">
        <v>10419591314</v>
      </c>
      <c r="F7" s="3" t="s">
        <v>26</v>
      </c>
      <c r="G7" s="3" t="s">
        <v>27</v>
      </c>
      <c r="H7" s="3" t="s">
        <v>28</v>
      </c>
      <c r="I7" s="3" t="s">
        <v>29</v>
      </c>
      <c r="J7" s="3" t="s">
        <v>30</v>
      </c>
      <c r="K7" s="3" t="s">
        <v>31</v>
      </c>
      <c r="L7" s="3" t="s">
        <v>32</v>
      </c>
      <c r="M7" s="3"/>
      <c r="N7" s="3"/>
      <c r="O7" s="3"/>
      <c r="P7" s="3"/>
      <c r="Q7" s="3"/>
      <c r="R7" s="3"/>
      <c r="S7" s="3"/>
      <c r="T7" s="3"/>
      <c r="U7" s="3">
        <v>715</v>
      </c>
      <c r="V7" s="4">
        <v>43725</v>
      </c>
      <c r="W7" s="3" t="s">
        <v>33</v>
      </c>
      <c r="X7" s="3" t="s">
        <v>26</v>
      </c>
    </row>
    <row r="8" spans="1:24" ht="27.95" x14ac:dyDescent="0.3">
      <c r="A8" s="3">
        <v>2</v>
      </c>
      <c r="B8" s="3" t="str">
        <f>"201300153105"</f>
        <v>201300153105</v>
      </c>
      <c r="C8" s="3">
        <v>18844</v>
      </c>
      <c r="D8" s="3" t="s">
        <v>34</v>
      </c>
      <c r="E8" s="3">
        <v>10011862701</v>
      </c>
      <c r="F8" s="3" t="s">
        <v>35</v>
      </c>
      <c r="G8" s="3" t="s">
        <v>36</v>
      </c>
      <c r="H8" s="3" t="s">
        <v>37</v>
      </c>
      <c r="I8" s="3" t="s">
        <v>38</v>
      </c>
      <c r="J8" s="3" t="s">
        <v>38</v>
      </c>
      <c r="K8" s="3" t="s">
        <v>31</v>
      </c>
      <c r="L8" s="3" t="s">
        <v>39</v>
      </c>
      <c r="M8" s="3" t="s">
        <v>40</v>
      </c>
      <c r="N8" s="3" t="s">
        <v>41</v>
      </c>
      <c r="O8" s="3"/>
      <c r="P8" s="3"/>
      <c r="Q8" s="3"/>
      <c r="R8" s="3"/>
      <c r="S8" s="3"/>
      <c r="T8" s="3"/>
      <c r="U8" s="3">
        <v>330</v>
      </c>
      <c r="V8" s="4">
        <v>41582</v>
      </c>
      <c r="W8" s="3" t="s">
        <v>33</v>
      </c>
      <c r="X8" s="3" t="s">
        <v>35</v>
      </c>
    </row>
    <row r="9" spans="1:24" ht="27.95" x14ac:dyDescent="0.3">
      <c r="A9" s="3">
        <v>3</v>
      </c>
      <c r="B9" s="3" t="str">
        <f>"1338708"</f>
        <v>1338708</v>
      </c>
      <c r="C9" s="3">
        <v>20033</v>
      </c>
      <c r="D9" s="3" t="s">
        <v>42</v>
      </c>
      <c r="E9" s="3">
        <v>10024378492</v>
      </c>
      <c r="F9" s="3" t="s">
        <v>43</v>
      </c>
      <c r="G9" s="3" t="s">
        <v>44</v>
      </c>
      <c r="H9" s="3" t="s">
        <v>45</v>
      </c>
      <c r="I9" s="3" t="s">
        <v>46</v>
      </c>
      <c r="J9" s="3" t="s">
        <v>47</v>
      </c>
      <c r="K9" s="3" t="s">
        <v>31</v>
      </c>
      <c r="L9" s="3" t="s">
        <v>48</v>
      </c>
      <c r="M9" s="3" t="s">
        <v>49</v>
      </c>
      <c r="N9" s="3" t="s">
        <v>50</v>
      </c>
      <c r="O9" s="3"/>
      <c r="P9" s="3"/>
      <c r="Q9" s="3"/>
      <c r="R9" s="3"/>
      <c r="S9" s="3"/>
      <c r="T9" s="3"/>
      <c r="U9" s="3">
        <v>440</v>
      </c>
      <c r="V9" s="4">
        <v>37194</v>
      </c>
      <c r="W9" s="3" t="s">
        <v>33</v>
      </c>
      <c r="X9" s="3" t="s">
        <v>51</v>
      </c>
    </row>
    <row r="10" spans="1:24" ht="55.9" x14ac:dyDescent="0.3">
      <c r="A10" s="3">
        <v>4</v>
      </c>
      <c r="B10" s="3" t="str">
        <f>"202000136804"</f>
        <v>202000136804</v>
      </c>
      <c r="C10" s="3">
        <v>151763</v>
      </c>
      <c r="D10" s="3" t="s">
        <v>52</v>
      </c>
      <c r="E10" s="3">
        <v>10247805082</v>
      </c>
      <c r="F10" s="3" t="s">
        <v>53</v>
      </c>
      <c r="G10" s="3" t="s">
        <v>54</v>
      </c>
      <c r="H10" s="3" t="s">
        <v>28</v>
      </c>
      <c r="I10" s="3" t="s">
        <v>55</v>
      </c>
      <c r="J10" s="3" t="s">
        <v>56</v>
      </c>
      <c r="K10" s="3" t="s">
        <v>31</v>
      </c>
      <c r="L10" s="3" t="s">
        <v>57</v>
      </c>
      <c r="M10" s="3"/>
      <c r="N10" s="3"/>
      <c r="O10" s="3"/>
      <c r="P10" s="3"/>
      <c r="Q10" s="3"/>
      <c r="R10" s="3"/>
      <c r="S10" s="3"/>
      <c r="T10" s="3"/>
      <c r="U10" s="3">
        <v>715</v>
      </c>
      <c r="V10" s="4">
        <v>44116</v>
      </c>
      <c r="W10" s="3" t="s">
        <v>33</v>
      </c>
      <c r="X10" s="3" t="s">
        <v>53</v>
      </c>
    </row>
    <row r="11" spans="1:24" ht="27.95" x14ac:dyDescent="0.3">
      <c r="A11" s="3">
        <v>5</v>
      </c>
      <c r="B11" s="3" t="str">
        <f>"201700003141"</f>
        <v>201700003141</v>
      </c>
      <c r="C11" s="3">
        <v>124046</v>
      </c>
      <c r="D11" s="3" t="s">
        <v>58</v>
      </c>
      <c r="E11" s="3">
        <v>10235588175</v>
      </c>
      <c r="F11" s="3" t="s">
        <v>59</v>
      </c>
      <c r="G11" s="3" t="s">
        <v>60</v>
      </c>
      <c r="H11" s="3" t="s">
        <v>61</v>
      </c>
      <c r="I11" s="3" t="s">
        <v>62</v>
      </c>
      <c r="J11" s="3" t="s">
        <v>63</v>
      </c>
      <c r="K11" s="3" t="s">
        <v>31</v>
      </c>
      <c r="L11" s="3" t="s">
        <v>64</v>
      </c>
      <c r="M11" s="3" t="s">
        <v>64</v>
      </c>
      <c r="N11" s="3" t="s">
        <v>65</v>
      </c>
      <c r="O11" s="3" t="s">
        <v>65</v>
      </c>
      <c r="P11" s="3"/>
      <c r="Q11" s="3"/>
      <c r="R11" s="3"/>
      <c r="S11" s="3"/>
      <c r="T11" s="3"/>
      <c r="U11" s="3">
        <v>330</v>
      </c>
      <c r="V11" s="4">
        <v>42745</v>
      </c>
      <c r="W11" s="3" t="s">
        <v>33</v>
      </c>
      <c r="X11" s="3" t="s">
        <v>59</v>
      </c>
    </row>
    <row r="12" spans="1:24" ht="27.95" x14ac:dyDescent="0.3">
      <c r="A12" s="3">
        <v>6</v>
      </c>
      <c r="B12" s="3" t="str">
        <f>"201600045499"</f>
        <v>201600045499</v>
      </c>
      <c r="C12" s="3">
        <v>21383</v>
      </c>
      <c r="D12" s="3" t="s">
        <v>66</v>
      </c>
      <c r="E12" s="3">
        <v>10208895538</v>
      </c>
      <c r="F12" s="3" t="s">
        <v>67</v>
      </c>
      <c r="G12" s="3" t="s">
        <v>68</v>
      </c>
      <c r="H12" s="3" t="s">
        <v>37</v>
      </c>
      <c r="I12" s="3" t="s">
        <v>37</v>
      </c>
      <c r="J12" s="3" t="s">
        <v>69</v>
      </c>
      <c r="K12" s="3" t="s">
        <v>31</v>
      </c>
      <c r="L12" s="3"/>
      <c r="M12" s="3"/>
      <c r="N12" s="3"/>
      <c r="O12" s="3"/>
      <c r="P12" s="3" t="s">
        <v>65</v>
      </c>
      <c r="Q12" s="3" t="s">
        <v>64</v>
      </c>
      <c r="R12" s="3"/>
      <c r="S12" s="3"/>
      <c r="T12" s="3"/>
      <c r="U12" s="3">
        <v>330</v>
      </c>
      <c r="V12" s="4">
        <v>42470</v>
      </c>
      <c r="W12" s="3" t="s">
        <v>33</v>
      </c>
      <c r="X12" s="3" t="s">
        <v>67</v>
      </c>
    </row>
    <row r="13" spans="1:24" ht="27.95" x14ac:dyDescent="0.3">
      <c r="A13" s="3">
        <v>7</v>
      </c>
      <c r="B13" s="3" t="str">
        <f>"201600061860"</f>
        <v>201600061860</v>
      </c>
      <c r="C13" s="3">
        <v>121139</v>
      </c>
      <c r="D13" s="3" t="s">
        <v>70</v>
      </c>
      <c r="E13" s="3">
        <v>20573272430</v>
      </c>
      <c r="F13" s="3" t="s">
        <v>71</v>
      </c>
      <c r="G13" s="3" t="s">
        <v>72</v>
      </c>
      <c r="H13" s="3" t="s">
        <v>73</v>
      </c>
      <c r="I13" s="3" t="s">
        <v>74</v>
      </c>
      <c r="J13" s="3" t="s">
        <v>75</v>
      </c>
      <c r="K13" s="3" t="s">
        <v>31</v>
      </c>
      <c r="L13" s="3" t="s">
        <v>41</v>
      </c>
      <c r="M13" s="3" t="s">
        <v>65</v>
      </c>
      <c r="N13" s="3"/>
      <c r="O13" s="3"/>
      <c r="P13" s="3"/>
      <c r="Q13" s="3"/>
      <c r="R13" s="3"/>
      <c r="S13" s="3"/>
      <c r="T13" s="3"/>
      <c r="U13" s="3">
        <v>330</v>
      </c>
      <c r="V13" s="4">
        <v>42515</v>
      </c>
      <c r="W13" s="3" t="s">
        <v>33</v>
      </c>
      <c r="X13" s="3" t="s">
        <v>76</v>
      </c>
    </row>
    <row r="14" spans="1:24" ht="27.95" x14ac:dyDescent="0.3">
      <c r="A14" s="3">
        <v>8</v>
      </c>
      <c r="B14" s="3" t="str">
        <f>"201300177882"</f>
        <v>201300177882</v>
      </c>
      <c r="C14" s="3">
        <v>17921</v>
      </c>
      <c r="D14" s="3" t="s">
        <v>77</v>
      </c>
      <c r="E14" s="3">
        <v>10014949921</v>
      </c>
      <c r="F14" s="3" t="s">
        <v>78</v>
      </c>
      <c r="G14" s="3" t="s">
        <v>79</v>
      </c>
      <c r="H14" s="3" t="s">
        <v>45</v>
      </c>
      <c r="I14" s="3" t="s">
        <v>46</v>
      </c>
      <c r="J14" s="3" t="s">
        <v>46</v>
      </c>
      <c r="K14" s="3" t="s">
        <v>31</v>
      </c>
      <c r="L14" s="3" t="s">
        <v>80</v>
      </c>
      <c r="M14" s="3"/>
      <c r="N14" s="3"/>
      <c r="O14" s="3"/>
      <c r="P14" s="3"/>
      <c r="Q14" s="3"/>
      <c r="R14" s="3"/>
      <c r="S14" s="3"/>
      <c r="T14" s="3"/>
      <c r="U14" s="3">
        <v>330</v>
      </c>
      <c r="V14" s="4">
        <v>41624</v>
      </c>
      <c r="W14" s="3" t="s">
        <v>33</v>
      </c>
      <c r="X14" s="3" t="s">
        <v>78</v>
      </c>
    </row>
    <row r="15" spans="1:24" ht="27.95" x14ac:dyDescent="0.3">
      <c r="A15" s="3">
        <v>9</v>
      </c>
      <c r="B15" s="3" t="str">
        <f>"201300049281"</f>
        <v>201300049281</v>
      </c>
      <c r="C15" s="3">
        <v>82781</v>
      </c>
      <c r="D15" s="3" t="s">
        <v>81</v>
      </c>
      <c r="E15" s="3">
        <v>20528174800</v>
      </c>
      <c r="F15" s="3" t="s">
        <v>82</v>
      </c>
      <c r="G15" s="3" t="s">
        <v>83</v>
      </c>
      <c r="H15" s="3" t="s">
        <v>84</v>
      </c>
      <c r="I15" s="3" t="s">
        <v>85</v>
      </c>
      <c r="J15" s="3" t="s">
        <v>86</v>
      </c>
      <c r="K15" s="3" t="s">
        <v>31</v>
      </c>
      <c r="L15" s="3" t="s">
        <v>41</v>
      </c>
      <c r="M15" s="3" t="s">
        <v>87</v>
      </c>
      <c r="N15" s="3"/>
      <c r="O15" s="3"/>
      <c r="P15" s="3"/>
      <c r="Q15" s="3"/>
      <c r="R15" s="3"/>
      <c r="S15" s="3"/>
      <c r="T15" s="3"/>
      <c r="U15" s="3">
        <v>330</v>
      </c>
      <c r="V15" s="4">
        <v>41346</v>
      </c>
      <c r="W15" s="3" t="s">
        <v>33</v>
      </c>
      <c r="X15" s="3" t="s">
        <v>88</v>
      </c>
    </row>
    <row r="16" spans="1:24" ht="27.95" x14ac:dyDescent="0.3">
      <c r="A16" s="3">
        <v>10</v>
      </c>
      <c r="B16" s="3" t="str">
        <f>"201800130092"</f>
        <v>201800130092</v>
      </c>
      <c r="C16" s="3">
        <v>137917</v>
      </c>
      <c r="D16" s="3" t="s">
        <v>89</v>
      </c>
      <c r="E16" s="3">
        <v>10771592665</v>
      </c>
      <c r="F16" s="3" t="s">
        <v>90</v>
      </c>
      <c r="G16" s="3" t="s">
        <v>91</v>
      </c>
      <c r="H16" s="3" t="s">
        <v>84</v>
      </c>
      <c r="I16" s="3" t="s">
        <v>92</v>
      </c>
      <c r="J16" s="3" t="s">
        <v>93</v>
      </c>
      <c r="K16" s="3" t="s">
        <v>31</v>
      </c>
      <c r="L16" s="3"/>
      <c r="M16" s="3" t="s">
        <v>94</v>
      </c>
      <c r="N16" s="3" t="s">
        <v>95</v>
      </c>
      <c r="O16" s="3"/>
      <c r="P16" s="3"/>
      <c r="Q16" s="3"/>
      <c r="R16" s="3"/>
      <c r="S16" s="3"/>
      <c r="T16" s="3"/>
      <c r="U16" s="3">
        <v>715</v>
      </c>
      <c r="V16" s="4">
        <v>43325</v>
      </c>
      <c r="W16" s="3" t="s">
        <v>33</v>
      </c>
      <c r="X16" s="3" t="s">
        <v>96</v>
      </c>
    </row>
    <row r="17" spans="1:24" ht="27.95" x14ac:dyDescent="0.3">
      <c r="A17" s="3">
        <v>11</v>
      </c>
      <c r="B17" s="3" t="str">
        <f>"1280057"</f>
        <v>1280057</v>
      </c>
      <c r="C17" s="3">
        <v>18800</v>
      </c>
      <c r="D17" s="3" t="s">
        <v>97</v>
      </c>
      <c r="E17" s="3">
        <v>10015052444</v>
      </c>
      <c r="F17" s="3" t="s">
        <v>98</v>
      </c>
      <c r="G17" s="3" t="s">
        <v>99</v>
      </c>
      <c r="H17" s="3" t="s">
        <v>45</v>
      </c>
      <c r="I17" s="3" t="s">
        <v>46</v>
      </c>
      <c r="J17" s="3" t="s">
        <v>100</v>
      </c>
      <c r="K17" s="3" t="s">
        <v>31</v>
      </c>
      <c r="L17" s="3" t="s">
        <v>49</v>
      </c>
      <c r="M17" s="3" t="s">
        <v>48</v>
      </c>
      <c r="N17" s="3" t="s">
        <v>50</v>
      </c>
      <c r="O17" s="3"/>
      <c r="P17" s="3"/>
      <c r="Q17" s="3"/>
      <c r="R17" s="3"/>
      <c r="S17" s="3"/>
      <c r="T17" s="3"/>
      <c r="U17" s="3">
        <v>440</v>
      </c>
      <c r="V17" s="4">
        <v>36621</v>
      </c>
      <c r="W17" s="3" t="s">
        <v>33</v>
      </c>
      <c r="X17" s="3" t="s">
        <v>101</v>
      </c>
    </row>
    <row r="18" spans="1:24" ht="27.95" x14ac:dyDescent="0.3">
      <c r="A18" s="3">
        <v>12</v>
      </c>
      <c r="B18" s="3" t="str">
        <f>"1344420"</f>
        <v>1344420</v>
      </c>
      <c r="C18" s="3">
        <v>21616</v>
      </c>
      <c r="D18" s="3" t="s">
        <v>102</v>
      </c>
      <c r="E18" s="3">
        <v>10018886109</v>
      </c>
      <c r="F18" s="3" t="s">
        <v>103</v>
      </c>
      <c r="G18" s="3" t="s">
        <v>104</v>
      </c>
      <c r="H18" s="3" t="s">
        <v>45</v>
      </c>
      <c r="I18" s="3" t="s">
        <v>105</v>
      </c>
      <c r="J18" s="3" t="s">
        <v>106</v>
      </c>
      <c r="K18" s="3" t="s">
        <v>31</v>
      </c>
      <c r="L18" s="3" t="s">
        <v>107</v>
      </c>
      <c r="M18" s="3" t="s">
        <v>108</v>
      </c>
      <c r="N18" s="3" t="s">
        <v>87</v>
      </c>
      <c r="O18" s="3"/>
      <c r="P18" s="3"/>
      <c r="Q18" s="3"/>
      <c r="R18" s="3"/>
      <c r="S18" s="3"/>
      <c r="T18" s="3"/>
      <c r="U18" s="3">
        <v>342</v>
      </c>
      <c r="V18" s="4">
        <v>37258</v>
      </c>
      <c r="W18" s="3" t="s">
        <v>33</v>
      </c>
      <c r="X18" s="3" t="s">
        <v>109</v>
      </c>
    </row>
    <row r="19" spans="1:24" ht="27.95" x14ac:dyDescent="0.3">
      <c r="A19" s="3">
        <v>13</v>
      </c>
      <c r="B19" s="3" t="str">
        <f>"201900180073"</f>
        <v>201900180073</v>
      </c>
      <c r="C19" s="3">
        <v>147528</v>
      </c>
      <c r="D19" s="3" t="s">
        <v>110</v>
      </c>
      <c r="E19" s="3">
        <v>10721603836</v>
      </c>
      <c r="F19" s="3" t="s">
        <v>111</v>
      </c>
      <c r="G19" s="3" t="s">
        <v>112</v>
      </c>
      <c r="H19" s="3" t="s">
        <v>92</v>
      </c>
      <c r="I19" s="3" t="s">
        <v>113</v>
      </c>
      <c r="J19" s="3" t="s">
        <v>114</v>
      </c>
      <c r="K19" s="3" t="s">
        <v>31</v>
      </c>
      <c r="L19" s="3" t="s">
        <v>115</v>
      </c>
      <c r="M19" s="3"/>
      <c r="N19" s="3"/>
      <c r="O19" s="3"/>
      <c r="P19" s="3"/>
      <c r="Q19" s="3"/>
      <c r="R19" s="3"/>
      <c r="S19" s="3"/>
      <c r="T19" s="3"/>
      <c r="U19" s="3">
        <v>715</v>
      </c>
      <c r="V19" s="4">
        <v>43769</v>
      </c>
      <c r="W19" s="3" t="s">
        <v>33</v>
      </c>
      <c r="X19" s="3" t="s">
        <v>111</v>
      </c>
    </row>
    <row r="20" spans="1:24" ht="27.95" x14ac:dyDescent="0.3">
      <c r="A20" s="3">
        <v>14</v>
      </c>
      <c r="B20" s="3" t="str">
        <f>"201500023671"</f>
        <v>201500023671</v>
      </c>
      <c r="C20" s="3">
        <v>112520</v>
      </c>
      <c r="D20" s="3" t="s">
        <v>116</v>
      </c>
      <c r="E20" s="3">
        <v>10436320201</v>
      </c>
      <c r="F20" s="3" t="s">
        <v>117</v>
      </c>
      <c r="G20" s="3" t="s">
        <v>118</v>
      </c>
      <c r="H20" s="3" t="s">
        <v>45</v>
      </c>
      <c r="I20" s="3" t="s">
        <v>119</v>
      </c>
      <c r="J20" s="3" t="s">
        <v>120</v>
      </c>
      <c r="K20" s="3" t="s">
        <v>31</v>
      </c>
      <c r="L20" s="3" t="s">
        <v>64</v>
      </c>
      <c r="M20" s="3" t="s">
        <v>121</v>
      </c>
      <c r="N20" s="3"/>
      <c r="O20" s="3"/>
      <c r="P20" s="3"/>
      <c r="Q20" s="3"/>
      <c r="R20" s="3"/>
      <c r="S20" s="3"/>
      <c r="T20" s="3"/>
      <c r="U20" s="3">
        <v>330</v>
      </c>
      <c r="V20" s="4">
        <v>42066</v>
      </c>
      <c r="W20" s="3" t="s">
        <v>33</v>
      </c>
      <c r="X20" s="3" t="s">
        <v>117</v>
      </c>
    </row>
    <row r="21" spans="1:24" ht="27.95" x14ac:dyDescent="0.3">
      <c r="A21" s="3">
        <v>15</v>
      </c>
      <c r="B21" s="3" t="str">
        <f>"201800160977"</f>
        <v>201800160977</v>
      </c>
      <c r="C21" s="3">
        <v>138859</v>
      </c>
      <c r="D21" s="3" t="s">
        <v>122</v>
      </c>
      <c r="E21" s="3">
        <v>10421026063</v>
      </c>
      <c r="F21" s="3" t="s">
        <v>123</v>
      </c>
      <c r="G21" s="3" t="s">
        <v>124</v>
      </c>
      <c r="H21" s="3" t="s">
        <v>28</v>
      </c>
      <c r="I21" s="3" t="s">
        <v>125</v>
      </c>
      <c r="J21" s="3" t="s">
        <v>126</v>
      </c>
      <c r="K21" s="3" t="s">
        <v>31</v>
      </c>
      <c r="L21" s="3" t="s">
        <v>32</v>
      </c>
      <c r="M21" s="3"/>
      <c r="N21" s="3"/>
      <c r="O21" s="3"/>
      <c r="P21" s="3"/>
      <c r="Q21" s="3"/>
      <c r="R21" s="3"/>
      <c r="S21" s="3"/>
      <c r="T21" s="3"/>
      <c r="U21" s="3">
        <v>715</v>
      </c>
      <c r="V21" s="4">
        <v>43382</v>
      </c>
      <c r="W21" s="3" t="s">
        <v>33</v>
      </c>
      <c r="X21" s="3" t="s">
        <v>123</v>
      </c>
    </row>
    <row r="22" spans="1:24" ht="27.95" x14ac:dyDescent="0.3">
      <c r="A22" s="3">
        <v>16</v>
      </c>
      <c r="B22" s="3" t="str">
        <f>"202000138030"</f>
        <v>202000138030</v>
      </c>
      <c r="C22" s="3">
        <v>135897</v>
      </c>
      <c r="D22" s="3" t="s">
        <v>127</v>
      </c>
      <c r="E22" s="3">
        <v>10008530519</v>
      </c>
      <c r="F22" s="3" t="s">
        <v>128</v>
      </c>
      <c r="G22" s="3" t="s">
        <v>129</v>
      </c>
      <c r="H22" s="3" t="s">
        <v>28</v>
      </c>
      <c r="I22" s="3" t="s">
        <v>29</v>
      </c>
      <c r="J22" s="3" t="s">
        <v>130</v>
      </c>
      <c r="K22" s="3" t="s">
        <v>31</v>
      </c>
      <c r="L22" s="3" t="s">
        <v>57</v>
      </c>
      <c r="M22" s="3"/>
      <c r="N22" s="3"/>
      <c r="O22" s="3"/>
      <c r="P22" s="3"/>
      <c r="Q22" s="3"/>
      <c r="R22" s="3"/>
      <c r="S22" s="3"/>
      <c r="T22" s="3"/>
      <c r="U22" s="3">
        <v>715</v>
      </c>
      <c r="V22" s="4">
        <v>44112</v>
      </c>
      <c r="W22" s="4">
        <v>44477</v>
      </c>
      <c r="X22" s="3" t="s">
        <v>128</v>
      </c>
    </row>
    <row r="23" spans="1:24" ht="27.95" x14ac:dyDescent="0.3">
      <c r="A23" s="3">
        <v>17</v>
      </c>
      <c r="B23" s="3" t="str">
        <f>"201900107727"</f>
        <v>201900107727</v>
      </c>
      <c r="C23" s="3">
        <v>145048</v>
      </c>
      <c r="D23" s="3" t="s">
        <v>131</v>
      </c>
      <c r="E23" s="3">
        <v>10248062326</v>
      </c>
      <c r="F23" s="3" t="s">
        <v>132</v>
      </c>
      <c r="G23" s="3" t="s">
        <v>133</v>
      </c>
      <c r="H23" s="3" t="s">
        <v>28</v>
      </c>
      <c r="I23" s="3" t="s">
        <v>55</v>
      </c>
      <c r="J23" s="3" t="s">
        <v>134</v>
      </c>
      <c r="K23" s="3" t="s">
        <v>31</v>
      </c>
      <c r="L23" s="3" t="s">
        <v>57</v>
      </c>
      <c r="M23" s="3"/>
      <c r="N23" s="3"/>
      <c r="O23" s="3"/>
      <c r="P23" s="3"/>
      <c r="Q23" s="3"/>
      <c r="R23" s="3"/>
      <c r="S23" s="3"/>
      <c r="T23" s="3"/>
      <c r="U23" s="3">
        <v>715</v>
      </c>
      <c r="V23" s="4">
        <v>43651</v>
      </c>
      <c r="W23" s="3" t="s">
        <v>33</v>
      </c>
      <c r="X23" s="3" t="s">
        <v>132</v>
      </c>
    </row>
    <row r="24" spans="1:24" ht="27.95" x14ac:dyDescent="0.3">
      <c r="A24" s="3">
        <v>18</v>
      </c>
      <c r="B24" s="3" t="str">
        <f>"1598244"</f>
        <v>1598244</v>
      </c>
      <c r="C24" s="3">
        <v>17936</v>
      </c>
      <c r="D24" s="3" t="s">
        <v>135</v>
      </c>
      <c r="E24" s="3">
        <v>10434070304</v>
      </c>
      <c r="F24" s="3" t="s">
        <v>136</v>
      </c>
      <c r="G24" s="3" t="s">
        <v>137</v>
      </c>
      <c r="H24" s="3" t="s">
        <v>45</v>
      </c>
      <c r="I24" s="3" t="s">
        <v>119</v>
      </c>
      <c r="J24" s="3" t="s">
        <v>138</v>
      </c>
      <c r="K24" s="3" t="s">
        <v>31</v>
      </c>
      <c r="L24" s="3" t="s">
        <v>139</v>
      </c>
      <c r="M24" s="3" t="s">
        <v>48</v>
      </c>
      <c r="N24" s="3" t="s">
        <v>50</v>
      </c>
      <c r="O24" s="3"/>
      <c r="P24" s="3"/>
      <c r="Q24" s="3"/>
      <c r="R24" s="3"/>
      <c r="S24" s="3"/>
      <c r="T24" s="3"/>
      <c r="U24" s="3">
        <v>440</v>
      </c>
      <c r="V24" s="4">
        <v>38798</v>
      </c>
      <c r="W24" s="3" t="s">
        <v>33</v>
      </c>
      <c r="X24" s="3" t="s">
        <v>140</v>
      </c>
    </row>
    <row r="25" spans="1:24" ht="27.95" x14ac:dyDescent="0.3">
      <c r="A25" s="3">
        <v>19</v>
      </c>
      <c r="B25" s="3" t="str">
        <f>"1425108"</f>
        <v>1425108</v>
      </c>
      <c r="C25" s="3">
        <v>20055</v>
      </c>
      <c r="D25" s="3" t="s">
        <v>141</v>
      </c>
      <c r="E25" s="3">
        <v>10407160377</v>
      </c>
      <c r="F25" s="3" t="s">
        <v>142</v>
      </c>
      <c r="G25" s="3" t="s">
        <v>143</v>
      </c>
      <c r="H25" s="3" t="s">
        <v>45</v>
      </c>
      <c r="I25" s="3" t="s">
        <v>105</v>
      </c>
      <c r="J25" s="3" t="s">
        <v>144</v>
      </c>
      <c r="K25" s="3" t="s">
        <v>31</v>
      </c>
      <c r="L25" s="3" t="s">
        <v>145</v>
      </c>
      <c r="M25" s="3" t="s">
        <v>48</v>
      </c>
      <c r="N25" s="3" t="s">
        <v>50</v>
      </c>
      <c r="O25" s="3"/>
      <c r="P25" s="3"/>
      <c r="Q25" s="3"/>
      <c r="R25" s="3"/>
      <c r="S25" s="3"/>
      <c r="T25" s="3"/>
      <c r="U25" s="3">
        <v>330</v>
      </c>
      <c r="V25" s="4">
        <v>37820</v>
      </c>
      <c r="W25" s="3" t="s">
        <v>33</v>
      </c>
      <c r="X25" s="3" t="s">
        <v>146</v>
      </c>
    </row>
    <row r="26" spans="1:24" ht="27.95" x14ac:dyDescent="0.3">
      <c r="A26" s="3">
        <v>20</v>
      </c>
      <c r="B26" s="3" t="str">
        <f>"201800103973"</f>
        <v>201800103973</v>
      </c>
      <c r="C26" s="3">
        <v>137126</v>
      </c>
      <c r="D26" s="3" t="s">
        <v>147</v>
      </c>
      <c r="E26" s="3">
        <v>10306633479</v>
      </c>
      <c r="F26" s="3" t="s">
        <v>148</v>
      </c>
      <c r="G26" s="3" t="s">
        <v>149</v>
      </c>
      <c r="H26" s="3" t="s">
        <v>150</v>
      </c>
      <c r="I26" s="3" t="s">
        <v>151</v>
      </c>
      <c r="J26" s="3" t="s">
        <v>152</v>
      </c>
      <c r="K26" s="3" t="s">
        <v>31</v>
      </c>
      <c r="L26" s="3" t="s">
        <v>153</v>
      </c>
      <c r="M26" s="3"/>
      <c r="N26" s="3"/>
      <c r="O26" s="3"/>
      <c r="P26" s="3"/>
      <c r="Q26" s="3"/>
      <c r="R26" s="3"/>
      <c r="S26" s="3"/>
      <c r="T26" s="3"/>
      <c r="U26" s="3">
        <v>550</v>
      </c>
      <c r="V26" s="4">
        <v>43278</v>
      </c>
      <c r="W26" s="3" t="s">
        <v>33</v>
      </c>
      <c r="X26" s="3" t="s">
        <v>148</v>
      </c>
    </row>
    <row r="27" spans="1:24" ht="27.95" x14ac:dyDescent="0.3">
      <c r="A27" s="3">
        <v>21</v>
      </c>
      <c r="B27" s="3" t="str">
        <f>"1611641"</f>
        <v>1611641</v>
      </c>
      <c r="C27" s="3">
        <v>43283</v>
      </c>
      <c r="D27" s="3" t="s">
        <v>154</v>
      </c>
      <c r="E27" s="3">
        <v>10056127831</v>
      </c>
      <c r="F27" s="3" t="s">
        <v>155</v>
      </c>
      <c r="G27" s="3" t="s">
        <v>156</v>
      </c>
      <c r="H27" s="3" t="s">
        <v>84</v>
      </c>
      <c r="I27" s="3" t="s">
        <v>85</v>
      </c>
      <c r="J27" s="3" t="s">
        <v>157</v>
      </c>
      <c r="K27" s="3" t="s">
        <v>31</v>
      </c>
      <c r="L27" s="3" t="s">
        <v>108</v>
      </c>
      <c r="M27" s="3" t="s">
        <v>158</v>
      </c>
      <c r="N27" s="3" t="s">
        <v>87</v>
      </c>
      <c r="O27" s="3"/>
      <c r="P27" s="3"/>
      <c r="Q27" s="3"/>
      <c r="R27" s="3"/>
      <c r="S27" s="3"/>
      <c r="T27" s="3"/>
      <c r="U27" s="3">
        <v>741</v>
      </c>
      <c r="V27" s="4">
        <v>38846</v>
      </c>
      <c r="W27" s="3" t="s">
        <v>33</v>
      </c>
      <c r="X27" s="3" t="s">
        <v>159</v>
      </c>
    </row>
    <row r="28" spans="1:24" ht="27.95" x14ac:dyDescent="0.3">
      <c r="A28" s="3">
        <v>22</v>
      </c>
      <c r="B28" s="3" t="str">
        <f>"1443593"</f>
        <v>1443593</v>
      </c>
      <c r="C28" s="3">
        <v>18394</v>
      </c>
      <c r="D28" s="3" t="s">
        <v>160</v>
      </c>
      <c r="E28" s="3">
        <v>10400930894</v>
      </c>
      <c r="F28" s="3" t="s">
        <v>161</v>
      </c>
      <c r="G28" s="3" t="s">
        <v>162</v>
      </c>
      <c r="H28" s="3" t="s">
        <v>45</v>
      </c>
      <c r="I28" s="3" t="s">
        <v>46</v>
      </c>
      <c r="J28" s="3" t="s">
        <v>163</v>
      </c>
      <c r="K28" s="3" t="s">
        <v>31</v>
      </c>
      <c r="L28" s="3" t="s">
        <v>139</v>
      </c>
      <c r="M28" s="3" t="s">
        <v>50</v>
      </c>
      <c r="N28" s="3" t="s">
        <v>164</v>
      </c>
      <c r="O28" s="3"/>
      <c r="P28" s="3"/>
      <c r="Q28" s="3"/>
      <c r="R28" s="3"/>
      <c r="S28" s="3"/>
      <c r="T28" s="3"/>
      <c r="U28" s="3">
        <v>1100</v>
      </c>
      <c r="V28" s="4">
        <v>37931</v>
      </c>
      <c r="W28" s="3" t="s">
        <v>33</v>
      </c>
      <c r="X28" s="3" t="s">
        <v>165</v>
      </c>
    </row>
    <row r="29" spans="1:24" ht="27.95" x14ac:dyDescent="0.3">
      <c r="A29" s="3">
        <v>23</v>
      </c>
      <c r="B29" s="3" t="str">
        <f>"1396584"</f>
        <v>1396584</v>
      </c>
      <c r="C29" s="3">
        <v>34674</v>
      </c>
      <c r="D29" s="3" t="s">
        <v>166</v>
      </c>
      <c r="E29" s="3">
        <v>10012909441</v>
      </c>
      <c r="F29" s="3" t="s">
        <v>167</v>
      </c>
      <c r="G29" s="3" t="s">
        <v>168</v>
      </c>
      <c r="H29" s="3" t="s">
        <v>45</v>
      </c>
      <c r="I29" s="3" t="s">
        <v>45</v>
      </c>
      <c r="J29" s="3" t="s">
        <v>169</v>
      </c>
      <c r="K29" s="3" t="s">
        <v>31</v>
      </c>
      <c r="L29" s="3" t="s">
        <v>48</v>
      </c>
      <c r="M29" s="3" t="s">
        <v>145</v>
      </c>
      <c r="N29" s="3" t="s">
        <v>50</v>
      </c>
      <c r="O29" s="3"/>
      <c r="P29" s="3"/>
      <c r="Q29" s="3"/>
      <c r="R29" s="3"/>
      <c r="S29" s="3"/>
      <c r="T29" s="3"/>
      <c r="U29" s="3">
        <v>342</v>
      </c>
      <c r="V29" s="4">
        <v>37581</v>
      </c>
      <c r="W29" s="3" t="s">
        <v>33</v>
      </c>
      <c r="X29" s="3" t="s">
        <v>170</v>
      </c>
    </row>
    <row r="30" spans="1:24" ht="27.95" x14ac:dyDescent="0.3">
      <c r="A30" s="3">
        <v>24</v>
      </c>
      <c r="B30" s="3" t="str">
        <f>"201300044597"</f>
        <v>201300044597</v>
      </c>
      <c r="C30" s="3">
        <v>16809</v>
      </c>
      <c r="D30" s="3" t="s">
        <v>171</v>
      </c>
      <c r="E30" s="3">
        <v>10251235924</v>
      </c>
      <c r="F30" s="3" t="s">
        <v>172</v>
      </c>
      <c r="G30" s="3" t="s">
        <v>173</v>
      </c>
      <c r="H30" s="3" t="s">
        <v>28</v>
      </c>
      <c r="I30" s="3" t="s">
        <v>174</v>
      </c>
      <c r="J30" s="3" t="s">
        <v>174</v>
      </c>
      <c r="K30" s="3" t="s">
        <v>31</v>
      </c>
      <c r="L30" s="3" t="s">
        <v>175</v>
      </c>
      <c r="M30" s="3"/>
      <c r="N30" s="3"/>
      <c r="O30" s="3"/>
      <c r="P30" s="3"/>
      <c r="Q30" s="3"/>
      <c r="R30" s="3"/>
      <c r="S30" s="3"/>
      <c r="T30" s="3"/>
      <c r="U30" s="3">
        <v>330</v>
      </c>
      <c r="V30" s="4">
        <v>41334</v>
      </c>
      <c r="W30" s="3" t="s">
        <v>33</v>
      </c>
      <c r="X30" s="3" t="s">
        <v>172</v>
      </c>
    </row>
    <row r="31" spans="1:24" ht="27.95" x14ac:dyDescent="0.3">
      <c r="A31" s="3">
        <v>25</v>
      </c>
      <c r="B31" s="3" t="str">
        <f>"201300138916"</f>
        <v>201300138916</v>
      </c>
      <c r="C31" s="3">
        <v>104923</v>
      </c>
      <c r="D31" s="3" t="s">
        <v>176</v>
      </c>
      <c r="E31" s="3">
        <v>10020478689</v>
      </c>
      <c r="F31" s="3" t="s">
        <v>177</v>
      </c>
      <c r="G31" s="3" t="s">
        <v>178</v>
      </c>
      <c r="H31" s="3" t="s">
        <v>45</v>
      </c>
      <c r="I31" s="3" t="s">
        <v>179</v>
      </c>
      <c r="J31" s="3" t="s">
        <v>180</v>
      </c>
      <c r="K31" s="3" t="s">
        <v>31</v>
      </c>
      <c r="L31" s="3" t="s">
        <v>181</v>
      </c>
      <c r="M31" s="3" t="s">
        <v>182</v>
      </c>
      <c r="N31" s="3"/>
      <c r="O31" s="3"/>
      <c r="P31" s="3"/>
      <c r="Q31" s="3"/>
      <c r="R31" s="3"/>
      <c r="S31" s="3"/>
      <c r="T31" s="3"/>
      <c r="U31" s="3">
        <v>330</v>
      </c>
      <c r="V31" s="4">
        <v>41515</v>
      </c>
      <c r="W31" s="3" t="s">
        <v>33</v>
      </c>
      <c r="X31" s="3" t="s">
        <v>177</v>
      </c>
    </row>
    <row r="32" spans="1:24" ht="27.95" x14ac:dyDescent="0.3">
      <c r="A32" s="3">
        <v>26</v>
      </c>
      <c r="B32" s="3" t="str">
        <f>"201800110775"</f>
        <v>201800110775</v>
      </c>
      <c r="C32" s="3">
        <v>137303</v>
      </c>
      <c r="D32" s="3" t="s">
        <v>183</v>
      </c>
      <c r="E32" s="3">
        <v>10251223497</v>
      </c>
      <c r="F32" s="3" t="s">
        <v>184</v>
      </c>
      <c r="G32" s="3" t="s">
        <v>185</v>
      </c>
      <c r="H32" s="3" t="s">
        <v>28</v>
      </c>
      <c r="I32" s="3" t="s">
        <v>174</v>
      </c>
      <c r="J32" s="3" t="s">
        <v>174</v>
      </c>
      <c r="K32" s="3" t="s">
        <v>31</v>
      </c>
      <c r="L32" s="3" t="s">
        <v>32</v>
      </c>
      <c r="M32" s="3"/>
      <c r="N32" s="3"/>
      <c r="O32" s="3"/>
      <c r="P32" s="3"/>
      <c r="Q32" s="3"/>
      <c r="R32" s="3"/>
      <c r="S32" s="3"/>
      <c r="T32" s="3"/>
      <c r="U32" s="3">
        <v>715</v>
      </c>
      <c r="V32" s="4">
        <v>43290</v>
      </c>
      <c r="W32" s="3" t="s">
        <v>33</v>
      </c>
      <c r="X32" s="3" t="s">
        <v>184</v>
      </c>
    </row>
    <row r="33" spans="1:24" ht="27.95" x14ac:dyDescent="0.3">
      <c r="A33" s="3">
        <v>27</v>
      </c>
      <c r="B33" s="3" t="str">
        <f>"201900119509"</f>
        <v>201900119509</v>
      </c>
      <c r="C33" s="3">
        <v>145429</v>
      </c>
      <c r="D33" s="3" t="s">
        <v>186</v>
      </c>
      <c r="E33" s="3">
        <v>10404737096</v>
      </c>
      <c r="F33" s="3" t="s">
        <v>187</v>
      </c>
      <c r="G33" s="3" t="s">
        <v>188</v>
      </c>
      <c r="H33" s="3" t="s">
        <v>84</v>
      </c>
      <c r="I33" s="3" t="s">
        <v>85</v>
      </c>
      <c r="J33" s="3" t="s">
        <v>189</v>
      </c>
      <c r="K33" s="3" t="s">
        <v>31</v>
      </c>
      <c r="L33" s="3" t="s">
        <v>190</v>
      </c>
      <c r="M33" s="3"/>
      <c r="N33" s="3"/>
      <c r="O33" s="3"/>
      <c r="P33" s="3"/>
      <c r="Q33" s="3"/>
      <c r="R33" s="3"/>
      <c r="S33" s="3"/>
      <c r="T33" s="3"/>
      <c r="U33" s="3">
        <v>0</v>
      </c>
      <c r="V33" s="4">
        <v>43673</v>
      </c>
      <c r="W33" s="3" t="s">
        <v>33</v>
      </c>
      <c r="X33" s="3" t="s">
        <v>187</v>
      </c>
    </row>
    <row r="34" spans="1:24" ht="27.95" x14ac:dyDescent="0.3">
      <c r="A34" s="3">
        <v>28</v>
      </c>
      <c r="B34" s="3" t="str">
        <f>"1268025"</f>
        <v>1268025</v>
      </c>
      <c r="C34" s="3">
        <v>17889</v>
      </c>
      <c r="D34" s="3" t="s">
        <v>191</v>
      </c>
      <c r="E34" s="3">
        <v>10278450649</v>
      </c>
      <c r="F34" s="3" t="s">
        <v>192</v>
      </c>
      <c r="G34" s="3" t="s">
        <v>193</v>
      </c>
      <c r="H34" s="3" t="s">
        <v>194</v>
      </c>
      <c r="I34" s="3" t="s">
        <v>195</v>
      </c>
      <c r="J34" s="3" t="s">
        <v>196</v>
      </c>
      <c r="K34" s="3" t="s">
        <v>31</v>
      </c>
      <c r="L34" s="3" t="s">
        <v>197</v>
      </c>
      <c r="M34" s="3" t="s">
        <v>145</v>
      </c>
      <c r="N34" s="3" t="s">
        <v>198</v>
      </c>
      <c r="O34" s="3"/>
      <c r="P34" s="3"/>
      <c r="Q34" s="3"/>
      <c r="R34" s="3"/>
      <c r="S34" s="3"/>
      <c r="T34" s="3"/>
      <c r="U34" s="3">
        <v>399</v>
      </c>
      <c r="V34" s="4">
        <v>36606</v>
      </c>
      <c r="W34" s="3" t="s">
        <v>33</v>
      </c>
      <c r="X34" s="3" t="s">
        <v>199</v>
      </c>
    </row>
    <row r="35" spans="1:24" ht="27.95" x14ac:dyDescent="0.3">
      <c r="A35" s="3">
        <v>29</v>
      </c>
      <c r="B35" s="3" t="str">
        <f>"201300181904"</f>
        <v>201300181904</v>
      </c>
      <c r="C35" s="3">
        <v>105771</v>
      </c>
      <c r="D35" s="3" t="s">
        <v>200</v>
      </c>
      <c r="E35" s="3">
        <v>10252204313</v>
      </c>
      <c r="F35" s="3" t="s">
        <v>201</v>
      </c>
      <c r="G35" s="3" t="s">
        <v>202</v>
      </c>
      <c r="H35" s="3" t="s">
        <v>28</v>
      </c>
      <c r="I35" s="3" t="s">
        <v>203</v>
      </c>
      <c r="J35" s="3" t="s">
        <v>204</v>
      </c>
      <c r="K35" s="3" t="s">
        <v>31</v>
      </c>
      <c r="L35" s="3"/>
      <c r="M35" s="3" t="s">
        <v>80</v>
      </c>
      <c r="N35" s="3"/>
      <c r="O35" s="3"/>
      <c r="P35" s="3"/>
      <c r="Q35" s="3"/>
      <c r="R35" s="3"/>
      <c r="S35" s="3"/>
      <c r="T35" s="3"/>
      <c r="U35" s="3">
        <v>330</v>
      </c>
      <c r="V35" s="4">
        <v>41631</v>
      </c>
      <c r="W35" s="3" t="s">
        <v>33</v>
      </c>
      <c r="X35" s="3" t="s">
        <v>201</v>
      </c>
    </row>
    <row r="36" spans="1:24" ht="27.95" x14ac:dyDescent="0.3">
      <c r="A36" s="3">
        <v>30</v>
      </c>
      <c r="B36" s="3" t="str">
        <f>"201900205677"</f>
        <v>201900205677</v>
      </c>
      <c r="C36" s="3">
        <v>148288</v>
      </c>
      <c r="D36" s="3" t="s">
        <v>205</v>
      </c>
      <c r="E36" s="3">
        <v>10476589997</v>
      </c>
      <c r="F36" s="3" t="s">
        <v>206</v>
      </c>
      <c r="G36" s="3" t="s">
        <v>207</v>
      </c>
      <c r="H36" s="3" t="s">
        <v>194</v>
      </c>
      <c r="I36" s="3" t="s">
        <v>208</v>
      </c>
      <c r="J36" s="3" t="s">
        <v>209</v>
      </c>
      <c r="K36" s="3" t="s">
        <v>31</v>
      </c>
      <c r="L36" s="3" t="s">
        <v>210</v>
      </c>
      <c r="M36" s="3"/>
      <c r="N36" s="3"/>
      <c r="O36" s="3"/>
      <c r="P36" s="3"/>
      <c r="Q36" s="3"/>
      <c r="R36" s="3"/>
      <c r="S36" s="3"/>
      <c r="T36" s="3"/>
      <c r="U36" s="3">
        <v>550</v>
      </c>
      <c r="V36" s="4">
        <v>43817</v>
      </c>
      <c r="W36" s="3" t="s">
        <v>33</v>
      </c>
      <c r="X36" s="3" t="s">
        <v>206</v>
      </c>
    </row>
    <row r="37" spans="1:24" ht="27.95" x14ac:dyDescent="0.3">
      <c r="A37" s="3">
        <v>31</v>
      </c>
      <c r="B37" s="3" t="str">
        <f>"1713171"</f>
        <v>1713171</v>
      </c>
      <c r="C37" s="3">
        <v>17922</v>
      </c>
      <c r="D37" s="3" t="s">
        <v>211</v>
      </c>
      <c r="E37" s="3">
        <v>10017816891</v>
      </c>
      <c r="F37" s="3" t="s">
        <v>212</v>
      </c>
      <c r="G37" s="3" t="s">
        <v>213</v>
      </c>
      <c r="H37" s="3" t="s">
        <v>45</v>
      </c>
      <c r="I37" s="3" t="s">
        <v>214</v>
      </c>
      <c r="J37" s="3" t="s">
        <v>215</v>
      </c>
      <c r="K37" s="3" t="s">
        <v>31</v>
      </c>
      <c r="L37" s="3" t="s">
        <v>164</v>
      </c>
      <c r="M37" s="3" t="s">
        <v>139</v>
      </c>
      <c r="N37" s="3" t="s">
        <v>50</v>
      </c>
      <c r="O37" s="3"/>
      <c r="P37" s="3"/>
      <c r="Q37" s="3"/>
      <c r="R37" s="3"/>
      <c r="S37" s="3"/>
      <c r="T37" s="3"/>
      <c r="U37" s="3">
        <v>440</v>
      </c>
      <c r="V37" s="4">
        <v>39301</v>
      </c>
      <c r="W37" s="3" t="s">
        <v>33</v>
      </c>
      <c r="X37" s="3" t="s">
        <v>216</v>
      </c>
    </row>
    <row r="38" spans="1:24" ht="27.95" x14ac:dyDescent="0.3">
      <c r="A38" s="3">
        <v>32</v>
      </c>
      <c r="B38" s="3" t="str">
        <f>"201900042034"</f>
        <v>201900042034</v>
      </c>
      <c r="C38" s="3">
        <v>141952</v>
      </c>
      <c r="D38" s="3" t="s">
        <v>217</v>
      </c>
      <c r="E38" s="3">
        <v>10462476570</v>
      </c>
      <c r="F38" s="3" t="s">
        <v>218</v>
      </c>
      <c r="G38" s="3" t="s">
        <v>219</v>
      </c>
      <c r="H38" s="3" t="s">
        <v>28</v>
      </c>
      <c r="I38" s="3" t="s">
        <v>220</v>
      </c>
      <c r="J38" s="3" t="s">
        <v>221</v>
      </c>
      <c r="K38" s="3" t="s">
        <v>31</v>
      </c>
      <c r="L38" s="3" t="s">
        <v>32</v>
      </c>
      <c r="M38" s="3"/>
      <c r="N38" s="3"/>
      <c r="O38" s="3"/>
      <c r="P38" s="3"/>
      <c r="Q38" s="3"/>
      <c r="R38" s="3"/>
      <c r="S38" s="3"/>
      <c r="T38" s="3"/>
      <c r="U38" s="3">
        <v>715</v>
      </c>
      <c r="V38" s="4">
        <v>43539</v>
      </c>
      <c r="W38" s="3" t="s">
        <v>33</v>
      </c>
      <c r="X38" s="3" t="s">
        <v>218</v>
      </c>
    </row>
    <row r="39" spans="1:24" ht="27.95" x14ac:dyDescent="0.3">
      <c r="A39" s="3">
        <v>33</v>
      </c>
      <c r="B39" s="3" t="str">
        <f>"201500158800"</f>
        <v>201500158800</v>
      </c>
      <c r="C39" s="3">
        <v>95702</v>
      </c>
      <c r="D39" s="3" t="s">
        <v>222</v>
      </c>
      <c r="E39" s="3">
        <v>20600643178</v>
      </c>
      <c r="F39" s="3" t="s">
        <v>223</v>
      </c>
      <c r="G39" s="3" t="s">
        <v>224</v>
      </c>
      <c r="H39" s="3" t="s">
        <v>225</v>
      </c>
      <c r="I39" s="3" t="s">
        <v>226</v>
      </c>
      <c r="J39" s="3" t="s">
        <v>227</v>
      </c>
      <c r="K39" s="3" t="s">
        <v>31</v>
      </c>
      <c r="L39" s="3"/>
      <c r="M39" s="3" t="s">
        <v>228</v>
      </c>
      <c r="N39" s="3"/>
      <c r="O39" s="3"/>
      <c r="P39" s="3"/>
      <c r="Q39" s="3"/>
      <c r="R39" s="3"/>
      <c r="S39" s="3"/>
      <c r="T39" s="3"/>
      <c r="U39" s="3">
        <v>330</v>
      </c>
      <c r="V39" s="4">
        <v>42351</v>
      </c>
      <c r="W39" s="3" t="s">
        <v>33</v>
      </c>
      <c r="X39" s="3" t="s">
        <v>229</v>
      </c>
    </row>
    <row r="40" spans="1:24" ht="27.95" x14ac:dyDescent="0.3">
      <c r="A40" s="3">
        <v>34</v>
      </c>
      <c r="B40" s="3" t="str">
        <f>"202000093296"</f>
        <v>202000093296</v>
      </c>
      <c r="C40" s="3">
        <v>145523</v>
      </c>
      <c r="D40" s="3" t="s">
        <v>230</v>
      </c>
      <c r="E40" s="3">
        <v>10100093222</v>
      </c>
      <c r="F40" s="3" t="s">
        <v>231</v>
      </c>
      <c r="G40" s="3" t="s">
        <v>232</v>
      </c>
      <c r="H40" s="3" t="s">
        <v>233</v>
      </c>
      <c r="I40" s="3" t="s">
        <v>234</v>
      </c>
      <c r="J40" s="3" t="s">
        <v>235</v>
      </c>
      <c r="K40" s="3" t="s">
        <v>31</v>
      </c>
      <c r="L40" s="3" t="s">
        <v>236</v>
      </c>
      <c r="M40" s="3" t="s">
        <v>237</v>
      </c>
      <c r="N40" s="3" t="s">
        <v>50</v>
      </c>
      <c r="O40" s="3"/>
      <c r="P40" s="3"/>
      <c r="Q40" s="3"/>
      <c r="R40" s="3"/>
      <c r="S40" s="3"/>
      <c r="T40" s="3"/>
      <c r="U40" s="3">
        <v>0</v>
      </c>
      <c r="V40" s="4">
        <v>44049</v>
      </c>
      <c r="W40" s="3" t="s">
        <v>33</v>
      </c>
      <c r="X40" s="3" t="s">
        <v>231</v>
      </c>
    </row>
    <row r="41" spans="1:24" ht="27.95" x14ac:dyDescent="0.3">
      <c r="A41" s="3">
        <v>35</v>
      </c>
      <c r="B41" s="3" t="str">
        <f>"1469215"</f>
        <v>1469215</v>
      </c>
      <c r="C41" s="3">
        <v>19997</v>
      </c>
      <c r="D41" s="3" t="s">
        <v>238</v>
      </c>
      <c r="E41" s="3">
        <v>10056053340</v>
      </c>
      <c r="F41" s="3" t="s">
        <v>239</v>
      </c>
      <c r="G41" s="3" t="s">
        <v>240</v>
      </c>
      <c r="H41" s="3" t="s">
        <v>84</v>
      </c>
      <c r="I41" s="3" t="s">
        <v>85</v>
      </c>
      <c r="J41" s="3" t="s">
        <v>241</v>
      </c>
      <c r="K41" s="3" t="s">
        <v>31</v>
      </c>
      <c r="L41" s="3" t="s">
        <v>48</v>
      </c>
      <c r="M41" s="3" t="s">
        <v>50</v>
      </c>
      <c r="N41" s="3" t="s">
        <v>49</v>
      </c>
      <c r="O41" s="3"/>
      <c r="P41" s="3"/>
      <c r="Q41" s="3"/>
      <c r="R41" s="3"/>
      <c r="S41" s="3"/>
      <c r="T41" s="3"/>
      <c r="U41" s="3">
        <v>440</v>
      </c>
      <c r="V41" s="4">
        <v>38093</v>
      </c>
      <c r="W41" s="3" t="s">
        <v>33</v>
      </c>
      <c r="X41" s="3" t="s">
        <v>242</v>
      </c>
    </row>
    <row r="42" spans="1:24" ht="27.95" x14ac:dyDescent="0.3">
      <c r="A42" s="3">
        <v>36</v>
      </c>
      <c r="B42" s="3" t="str">
        <f>"201900068467"</f>
        <v>201900068467</v>
      </c>
      <c r="C42" s="3">
        <v>102067</v>
      </c>
      <c r="D42" s="3" t="s">
        <v>243</v>
      </c>
      <c r="E42" s="3">
        <v>20393748037</v>
      </c>
      <c r="F42" s="3" t="s">
        <v>244</v>
      </c>
      <c r="G42" s="3" t="s">
        <v>245</v>
      </c>
      <c r="H42" s="3" t="s">
        <v>92</v>
      </c>
      <c r="I42" s="3" t="s">
        <v>246</v>
      </c>
      <c r="J42" s="3" t="s">
        <v>247</v>
      </c>
      <c r="K42" s="3" t="s">
        <v>31</v>
      </c>
      <c r="L42" s="3" t="s">
        <v>115</v>
      </c>
      <c r="M42" s="3"/>
      <c r="N42" s="3"/>
      <c r="O42" s="3"/>
      <c r="P42" s="3"/>
      <c r="Q42" s="3"/>
      <c r="R42" s="3"/>
      <c r="S42" s="3"/>
      <c r="T42" s="3"/>
      <c r="U42" s="3">
        <v>715</v>
      </c>
      <c r="V42" s="4">
        <v>43591</v>
      </c>
      <c r="W42" s="3" t="s">
        <v>33</v>
      </c>
      <c r="X42" s="3" t="s">
        <v>248</v>
      </c>
    </row>
    <row r="43" spans="1:24" ht="27.95" x14ac:dyDescent="0.3">
      <c r="A43" s="3">
        <v>37</v>
      </c>
      <c r="B43" s="3" t="str">
        <f>"1425104"</f>
        <v>1425104</v>
      </c>
      <c r="C43" s="3">
        <v>35011</v>
      </c>
      <c r="D43" s="3" t="s">
        <v>249</v>
      </c>
      <c r="E43" s="3">
        <v>10024043733</v>
      </c>
      <c r="F43" s="3" t="s">
        <v>250</v>
      </c>
      <c r="G43" s="3" t="s">
        <v>251</v>
      </c>
      <c r="H43" s="3" t="s">
        <v>45</v>
      </c>
      <c r="I43" s="3" t="s">
        <v>252</v>
      </c>
      <c r="J43" s="3" t="s">
        <v>253</v>
      </c>
      <c r="K43" s="3" t="s">
        <v>31</v>
      </c>
      <c r="L43" s="3" t="s">
        <v>50</v>
      </c>
      <c r="M43" s="3" t="s">
        <v>48</v>
      </c>
      <c r="N43" s="3" t="s">
        <v>145</v>
      </c>
      <c r="O43" s="3"/>
      <c r="P43" s="3"/>
      <c r="Q43" s="3"/>
      <c r="R43" s="3"/>
      <c r="S43" s="3"/>
      <c r="T43" s="3"/>
      <c r="U43" s="3">
        <v>342</v>
      </c>
      <c r="V43" s="4">
        <v>37824</v>
      </c>
      <c r="W43" s="3" t="s">
        <v>33</v>
      </c>
      <c r="X43" s="3" t="s">
        <v>254</v>
      </c>
    </row>
    <row r="44" spans="1:24" ht="27.95" x14ac:dyDescent="0.3">
      <c r="A44" s="3">
        <v>38</v>
      </c>
      <c r="B44" s="3" t="str">
        <f>"1396472"</f>
        <v>1396472</v>
      </c>
      <c r="C44" s="3">
        <v>33677</v>
      </c>
      <c r="D44" s="3" t="s">
        <v>255</v>
      </c>
      <c r="E44" s="3">
        <v>10018496441</v>
      </c>
      <c r="F44" s="3" t="s">
        <v>256</v>
      </c>
      <c r="G44" s="3" t="s">
        <v>257</v>
      </c>
      <c r="H44" s="3" t="s">
        <v>45</v>
      </c>
      <c r="I44" s="3" t="s">
        <v>105</v>
      </c>
      <c r="J44" s="3" t="s">
        <v>144</v>
      </c>
      <c r="K44" s="3" t="s">
        <v>31</v>
      </c>
      <c r="L44" s="3" t="s">
        <v>145</v>
      </c>
      <c r="M44" s="3" t="s">
        <v>50</v>
      </c>
      <c r="N44" s="3" t="s">
        <v>48</v>
      </c>
      <c r="O44" s="3"/>
      <c r="P44" s="3"/>
      <c r="Q44" s="3"/>
      <c r="R44" s="3"/>
      <c r="S44" s="3"/>
      <c r="T44" s="3"/>
      <c r="U44" s="3">
        <v>342</v>
      </c>
      <c r="V44" s="4">
        <v>37613</v>
      </c>
      <c r="W44" s="3" t="s">
        <v>33</v>
      </c>
      <c r="X44" s="3" t="s">
        <v>258</v>
      </c>
    </row>
    <row r="45" spans="1:24" ht="27.95" x14ac:dyDescent="0.3">
      <c r="A45" s="3">
        <v>39</v>
      </c>
      <c r="B45" s="3" t="str">
        <f>"201300026037"</f>
        <v>201300026037</v>
      </c>
      <c r="C45" s="3">
        <v>16711</v>
      </c>
      <c r="D45" s="3" t="s">
        <v>259</v>
      </c>
      <c r="E45" s="3">
        <v>10432921811</v>
      </c>
      <c r="F45" s="3" t="s">
        <v>260</v>
      </c>
      <c r="G45" s="3" t="s">
        <v>261</v>
      </c>
      <c r="H45" s="3" t="s">
        <v>233</v>
      </c>
      <c r="I45" s="3" t="s">
        <v>262</v>
      </c>
      <c r="J45" s="3" t="s">
        <v>263</v>
      </c>
      <c r="K45" s="3" t="s">
        <v>31</v>
      </c>
      <c r="L45" s="3" t="s">
        <v>50</v>
      </c>
      <c r="M45" s="3" t="s">
        <v>41</v>
      </c>
      <c r="N45" s="3" t="s">
        <v>264</v>
      </c>
      <c r="O45" s="3"/>
      <c r="P45" s="3"/>
      <c r="Q45" s="3"/>
      <c r="R45" s="3"/>
      <c r="S45" s="3"/>
      <c r="T45" s="3"/>
      <c r="U45" s="3">
        <v>330</v>
      </c>
      <c r="V45" s="4">
        <v>41306</v>
      </c>
      <c r="W45" s="3" t="s">
        <v>33</v>
      </c>
      <c r="X45" s="3" t="s">
        <v>260</v>
      </c>
    </row>
    <row r="46" spans="1:24" ht="27.95" x14ac:dyDescent="0.3">
      <c r="A46" s="3">
        <v>40</v>
      </c>
      <c r="B46" s="3" t="str">
        <f>"1600179"</f>
        <v>1600179</v>
      </c>
      <c r="C46" s="3">
        <v>33982</v>
      </c>
      <c r="D46" s="3" t="s">
        <v>265</v>
      </c>
      <c r="E46" s="3">
        <v>10335745553</v>
      </c>
      <c r="F46" s="3" t="s">
        <v>266</v>
      </c>
      <c r="G46" s="3" t="s">
        <v>267</v>
      </c>
      <c r="H46" s="3" t="s">
        <v>225</v>
      </c>
      <c r="I46" s="3" t="s">
        <v>268</v>
      </c>
      <c r="J46" s="3" t="s">
        <v>268</v>
      </c>
      <c r="K46" s="3" t="s">
        <v>31</v>
      </c>
      <c r="L46" s="3" t="s">
        <v>269</v>
      </c>
      <c r="M46" s="3" t="s">
        <v>164</v>
      </c>
      <c r="N46" s="3" t="s">
        <v>145</v>
      </c>
      <c r="O46" s="3"/>
      <c r="P46" s="3"/>
      <c r="Q46" s="3"/>
      <c r="R46" s="3"/>
      <c r="S46" s="3"/>
      <c r="T46" s="3"/>
      <c r="U46" s="3">
        <v>570</v>
      </c>
      <c r="V46" s="4">
        <v>38810</v>
      </c>
      <c r="W46" s="3" t="s">
        <v>33</v>
      </c>
      <c r="X46" s="3" t="s">
        <v>270</v>
      </c>
    </row>
    <row r="47" spans="1:24" ht="27.95" x14ac:dyDescent="0.3">
      <c r="A47" s="3">
        <v>41</v>
      </c>
      <c r="B47" s="3" t="str">
        <f>"202000066525"</f>
        <v>202000066525</v>
      </c>
      <c r="C47" s="3">
        <v>131999</v>
      </c>
      <c r="D47" s="3" t="s">
        <v>271</v>
      </c>
      <c r="E47" s="3">
        <v>10009040698</v>
      </c>
      <c r="F47" s="3" t="s">
        <v>272</v>
      </c>
      <c r="G47" s="3" t="s">
        <v>273</v>
      </c>
      <c r="H47" s="3" t="s">
        <v>233</v>
      </c>
      <c r="I47" s="3" t="s">
        <v>274</v>
      </c>
      <c r="J47" s="3" t="s">
        <v>274</v>
      </c>
      <c r="K47" s="3" t="s">
        <v>31</v>
      </c>
      <c r="L47" s="3" t="s">
        <v>275</v>
      </c>
      <c r="M47" s="3"/>
      <c r="N47" s="3"/>
      <c r="O47" s="3"/>
      <c r="P47" s="3"/>
      <c r="Q47" s="3"/>
      <c r="R47" s="3"/>
      <c r="S47" s="3"/>
      <c r="T47" s="3"/>
      <c r="U47" s="3">
        <v>330</v>
      </c>
      <c r="V47" s="4">
        <v>44035</v>
      </c>
      <c r="W47" s="3" t="s">
        <v>33</v>
      </c>
      <c r="X47" s="3" t="s">
        <v>272</v>
      </c>
    </row>
    <row r="48" spans="1:24" ht="27.95" x14ac:dyDescent="0.3">
      <c r="A48" s="3">
        <v>42</v>
      </c>
      <c r="B48" s="3" t="str">
        <f>"201700210901"</f>
        <v>201700210901</v>
      </c>
      <c r="C48" s="3">
        <v>41035</v>
      </c>
      <c r="D48" s="3" t="s">
        <v>276</v>
      </c>
      <c r="E48" s="3">
        <v>10024204133</v>
      </c>
      <c r="F48" s="3" t="s">
        <v>277</v>
      </c>
      <c r="G48" s="3" t="s">
        <v>278</v>
      </c>
      <c r="H48" s="3" t="s">
        <v>45</v>
      </c>
      <c r="I48" s="3" t="s">
        <v>252</v>
      </c>
      <c r="J48" s="3" t="s">
        <v>279</v>
      </c>
      <c r="K48" s="3" t="s">
        <v>31</v>
      </c>
      <c r="L48" s="3" t="s">
        <v>280</v>
      </c>
      <c r="M48" s="3" t="s">
        <v>281</v>
      </c>
      <c r="N48" s="3"/>
      <c r="O48" s="3"/>
      <c r="P48" s="3"/>
      <c r="Q48" s="3"/>
      <c r="R48" s="3"/>
      <c r="S48" s="3"/>
      <c r="T48" s="3"/>
      <c r="U48" s="3">
        <v>715</v>
      </c>
      <c r="V48" s="4">
        <v>43090</v>
      </c>
      <c r="W48" s="3" t="s">
        <v>33</v>
      </c>
      <c r="X48" s="3" t="s">
        <v>277</v>
      </c>
    </row>
    <row r="49" spans="1:24" ht="27.95" x14ac:dyDescent="0.3">
      <c r="A49" s="3">
        <v>43</v>
      </c>
      <c r="B49" s="3" t="str">
        <f>"201900181239"</f>
        <v>201900181239</v>
      </c>
      <c r="C49" s="3">
        <v>145018</v>
      </c>
      <c r="D49" s="3" t="s">
        <v>282</v>
      </c>
      <c r="E49" s="3">
        <v>20600165713</v>
      </c>
      <c r="F49" s="3" t="s">
        <v>283</v>
      </c>
      <c r="G49" s="3" t="s">
        <v>284</v>
      </c>
      <c r="H49" s="3" t="s">
        <v>194</v>
      </c>
      <c r="I49" s="3" t="s">
        <v>285</v>
      </c>
      <c r="J49" s="3" t="s">
        <v>285</v>
      </c>
      <c r="K49" s="3" t="s">
        <v>31</v>
      </c>
      <c r="L49" s="3" t="s">
        <v>57</v>
      </c>
      <c r="M49" s="3"/>
      <c r="N49" s="3"/>
      <c r="O49" s="3"/>
      <c r="P49" s="3"/>
      <c r="Q49" s="3"/>
      <c r="R49" s="3"/>
      <c r="S49" s="3"/>
      <c r="T49" s="3"/>
      <c r="U49" s="3">
        <v>0</v>
      </c>
      <c r="V49" s="4">
        <v>43777</v>
      </c>
      <c r="W49" s="3" t="s">
        <v>33</v>
      </c>
      <c r="X49" s="3" t="s">
        <v>286</v>
      </c>
    </row>
    <row r="50" spans="1:24" ht="27.95" x14ac:dyDescent="0.3">
      <c r="A50" s="3">
        <v>44</v>
      </c>
      <c r="B50" s="3" t="str">
        <f>"201900124955"</f>
        <v>201900124955</v>
      </c>
      <c r="C50" s="3">
        <v>21692</v>
      </c>
      <c r="D50" s="3" t="s">
        <v>287</v>
      </c>
      <c r="E50" s="3">
        <v>10024020539</v>
      </c>
      <c r="F50" s="3" t="s">
        <v>288</v>
      </c>
      <c r="G50" s="3" t="s">
        <v>289</v>
      </c>
      <c r="H50" s="3" t="s">
        <v>45</v>
      </c>
      <c r="I50" s="3" t="s">
        <v>119</v>
      </c>
      <c r="J50" s="3" t="s">
        <v>290</v>
      </c>
      <c r="K50" s="3" t="s">
        <v>31</v>
      </c>
      <c r="L50" s="3" t="s">
        <v>291</v>
      </c>
      <c r="M50" s="3"/>
      <c r="N50" s="3"/>
      <c r="O50" s="3"/>
      <c r="P50" s="3"/>
      <c r="Q50" s="3"/>
      <c r="R50" s="3"/>
      <c r="S50" s="3"/>
      <c r="T50" s="3"/>
      <c r="U50" s="3">
        <v>330</v>
      </c>
      <c r="V50" s="4">
        <v>43691</v>
      </c>
      <c r="W50" s="3" t="s">
        <v>33</v>
      </c>
      <c r="X50" s="3" t="s">
        <v>288</v>
      </c>
    </row>
    <row r="51" spans="1:24" ht="27.95" x14ac:dyDescent="0.3">
      <c r="A51" s="3">
        <v>45</v>
      </c>
      <c r="B51" s="3" t="str">
        <f>"201300065256"</f>
        <v>201300065256</v>
      </c>
      <c r="C51" s="3">
        <v>88556</v>
      </c>
      <c r="D51" s="3" t="s">
        <v>292</v>
      </c>
      <c r="E51" s="3">
        <v>20528139648</v>
      </c>
      <c r="F51" s="3" t="s">
        <v>293</v>
      </c>
      <c r="G51" s="3" t="s">
        <v>294</v>
      </c>
      <c r="H51" s="3" t="s">
        <v>84</v>
      </c>
      <c r="I51" s="3" t="s">
        <v>295</v>
      </c>
      <c r="J51" s="3" t="s">
        <v>296</v>
      </c>
      <c r="K51" s="3" t="s">
        <v>31</v>
      </c>
      <c r="L51" s="3" t="s">
        <v>41</v>
      </c>
      <c r="M51" s="3" t="s">
        <v>87</v>
      </c>
      <c r="N51" s="3"/>
      <c r="O51" s="3"/>
      <c r="P51" s="3"/>
      <c r="Q51" s="3"/>
      <c r="R51" s="3"/>
      <c r="S51" s="3"/>
      <c r="T51" s="3"/>
      <c r="U51" s="3">
        <v>330</v>
      </c>
      <c r="V51" s="4">
        <v>41379</v>
      </c>
      <c r="W51" s="3" t="s">
        <v>33</v>
      </c>
      <c r="X51" s="3" t="s">
        <v>297</v>
      </c>
    </row>
    <row r="52" spans="1:24" ht="27.95" x14ac:dyDescent="0.3">
      <c r="A52" s="3">
        <v>46</v>
      </c>
      <c r="B52" s="3" t="str">
        <f>"1314720"</f>
        <v>1314720</v>
      </c>
      <c r="C52" s="3">
        <v>39828</v>
      </c>
      <c r="D52" s="3" t="s">
        <v>298</v>
      </c>
      <c r="E52" s="3">
        <v>10017818762</v>
      </c>
      <c r="F52" s="3" t="s">
        <v>299</v>
      </c>
      <c r="G52" s="3" t="s">
        <v>300</v>
      </c>
      <c r="H52" s="3" t="s">
        <v>45</v>
      </c>
      <c r="I52" s="3" t="s">
        <v>105</v>
      </c>
      <c r="J52" s="3" t="s">
        <v>144</v>
      </c>
      <c r="K52" s="3" t="s">
        <v>31</v>
      </c>
      <c r="L52" s="3" t="s">
        <v>48</v>
      </c>
      <c r="M52" s="3" t="s">
        <v>50</v>
      </c>
      <c r="N52" s="3" t="s">
        <v>145</v>
      </c>
      <c r="O52" s="3"/>
      <c r="P52" s="3"/>
      <c r="Q52" s="3"/>
      <c r="R52" s="3"/>
      <c r="S52" s="3"/>
      <c r="T52" s="3"/>
      <c r="U52" s="3">
        <v>330</v>
      </c>
      <c r="V52" s="4">
        <v>36921</v>
      </c>
      <c r="W52" s="3" t="s">
        <v>33</v>
      </c>
      <c r="X52" s="3" t="s">
        <v>301</v>
      </c>
    </row>
    <row r="53" spans="1:24" ht="27.95" x14ac:dyDescent="0.3">
      <c r="A53" s="3">
        <v>47</v>
      </c>
      <c r="B53" s="3" t="str">
        <f>"201700066438"</f>
        <v>201700066438</v>
      </c>
      <c r="C53" s="3">
        <v>18292</v>
      </c>
      <c r="D53" s="3" t="s">
        <v>302</v>
      </c>
      <c r="E53" s="3">
        <v>10016849133</v>
      </c>
      <c r="F53" s="3" t="s">
        <v>303</v>
      </c>
      <c r="G53" s="3" t="s">
        <v>304</v>
      </c>
      <c r="H53" s="3" t="s">
        <v>45</v>
      </c>
      <c r="I53" s="3" t="s">
        <v>119</v>
      </c>
      <c r="J53" s="3" t="s">
        <v>290</v>
      </c>
      <c r="K53" s="3" t="s">
        <v>31</v>
      </c>
      <c r="L53" s="3"/>
      <c r="M53" s="3"/>
      <c r="N53" s="3"/>
      <c r="O53" s="3" t="s">
        <v>181</v>
      </c>
      <c r="P53" s="3" t="s">
        <v>121</v>
      </c>
      <c r="Q53" s="3"/>
      <c r="R53" s="3"/>
      <c r="S53" s="3"/>
      <c r="T53" s="3"/>
      <c r="U53" s="3">
        <v>330</v>
      </c>
      <c r="V53" s="4">
        <v>42866</v>
      </c>
      <c r="W53" s="3" t="s">
        <v>33</v>
      </c>
      <c r="X53" s="3" t="s">
        <v>303</v>
      </c>
    </row>
    <row r="54" spans="1:24" ht="27.95" x14ac:dyDescent="0.3">
      <c r="A54" s="3">
        <v>48</v>
      </c>
      <c r="B54" s="3" t="str">
        <f>"201900080043"</f>
        <v>201900080043</v>
      </c>
      <c r="C54" s="3">
        <v>143207</v>
      </c>
      <c r="D54" s="3" t="s">
        <v>305</v>
      </c>
      <c r="E54" s="3">
        <v>10000667388</v>
      </c>
      <c r="F54" s="3" t="s">
        <v>306</v>
      </c>
      <c r="G54" s="3" t="s">
        <v>307</v>
      </c>
      <c r="H54" s="3" t="s">
        <v>84</v>
      </c>
      <c r="I54" s="3" t="s">
        <v>308</v>
      </c>
      <c r="J54" s="3" t="s">
        <v>309</v>
      </c>
      <c r="K54" s="3" t="s">
        <v>31</v>
      </c>
      <c r="L54" s="3"/>
      <c r="M54" s="3"/>
      <c r="N54" s="3" t="s">
        <v>95</v>
      </c>
      <c r="O54" s="3" t="s">
        <v>269</v>
      </c>
      <c r="P54" s="3"/>
      <c r="Q54" s="3"/>
      <c r="R54" s="3"/>
      <c r="S54" s="3"/>
      <c r="T54" s="3"/>
      <c r="U54" s="3">
        <v>0</v>
      </c>
      <c r="V54" s="4">
        <v>43607</v>
      </c>
      <c r="W54" s="3" t="s">
        <v>33</v>
      </c>
      <c r="X54" s="3" t="s">
        <v>306</v>
      </c>
    </row>
    <row r="55" spans="1:24" ht="27.95" x14ac:dyDescent="0.3">
      <c r="A55" s="3">
        <v>49</v>
      </c>
      <c r="B55" s="3" t="str">
        <f>"1319848"</f>
        <v>1319848</v>
      </c>
      <c r="C55" s="3">
        <v>18796</v>
      </c>
      <c r="D55" s="3" t="s">
        <v>310</v>
      </c>
      <c r="E55" s="3">
        <v>10015091695</v>
      </c>
      <c r="F55" s="3" t="s">
        <v>311</v>
      </c>
      <c r="G55" s="3" t="s">
        <v>312</v>
      </c>
      <c r="H55" s="3" t="s">
        <v>45</v>
      </c>
      <c r="I55" s="3" t="s">
        <v>46</v>
      </c>
      <c r="J55" s="3" t="s">
        <v>47</v>
      </c>
      <c r="K55" s="3" t="s">
        <v>31</v>
      </c>
      <c r="L55" s="3" t="s">
        <v>164</v>
      </c>
      <c r="M55" s="3" t="s">
        <v>139</v>
      </c>
      <c r="N55" s="3" t="s">
        <v>50</v>
      </c>
      <c r="O55" s="3"/>
      <c r="P55" s="3"/>
      <c r="Q55" s="3"/>
      <c r="R55" s="3"/>
      <c r="S55" s="3"/>
      <c r="T55" s="3"/>
      <c r="U55" s="3">
        <v>440</v>
      </c>
      <c r="V55" s="4">
        <v>37029</v>
      </c>
      <c r="W55" s="3" t="s">
        <v>33</v>
      </c>
      <c r="X55" s="3" t="s">
        <v>313</v>
      </c>
    </row>
    <row r="56" spans="1:24" ht="27.95" x14ac:dyDescent="0.3">
      <c r="A56" s="3">
        <v>50</v>
      </c>
      <c r="B56" s="3" t="str">
        <f>"201300045051"</f>
        <v>201300045051</v>
      </c>
      <c r="C56" s="3">
        <v>35528</v>
      </c>
      <c r="D56" s="3" t="s">
        <v>314</v>
      </c>
      <c r="E56" s="3">
        <v>10015545475</v>
      </c>
      <c r="F56" s="3" t="s">
        <v>315</v>
      </c>
      <c r="G56" s="3" t="s">
        <v>316</v>
      </c>
      <c r="H56" s="3" t="s">
        <v>45</v>
      </c>
      <c r="I56" s="3" t="s">
        <v>46</v>
      </c>
      <c r="J56" s="3" t="s">
        <v>317</v>
      </c>
      <c r="K56" s="3" t="s">
        <v>31</v>
      </c>
      <c r="L56" s="3" t="s">
        <v>181</v>
      </c>
      <c r="M56" s="3" t="s">
        <v>182</v>
      </c>
      <c r="N56" s="3"/>
      <c r="O56" s="3"/>
      <c r="P56" s="3"/>
      <c r="Q56" s="3"/>
      <c r="R56" s="3"/>
      <c r="S56" s="3"/>
      <c r="T56" s="3"/>
      <c r="U56" s="3">
        <v>330</v>
      </c>
      <c r="V56" s="4">
        <v>41338</v>
      </c>
      <c r="W56" s="3" t="s">
        <v>33</v>
      </c>
      <c r="X56" s="3" t="s">
        <v>315</v>
      </c>
    </row>
    <row r="57" spans="1:24" ht="27.95" x14ac:dyDescent="0.3">
      <c r="A57" s="3">
        <v>51</v>
      </c>
      <c r="B57" s="3" t="str">
        <f>"1471425"</f>
        <v>1471425</v>
      </c>
      <c r="C57" s="3">
        <v>91339</v>
      </c>
      <c r="D57" s="3" t="s">
        <v>318</v>
      </c>
      <c r="E57" s="3">
        <v>10404785180</v>
      </c>
      <c r="F57" s="3" t="s">
        <v>319</v>
      </c>
      <c r="G57" s="3" t="s">
        <v>320</v>
      </c>
      <c r="H57" s="3" t="s">
        <v>45</v>
      </c>
      <c r="I57" s="3" t="s">
        <v>214</v>
      </c>
      <c r="J57" s="3" t="s">
        <v>321</v>
      </c>
      <c r="K57" s="3" t="s">
        <v>31</v>
      </c>
      <c r="L57" s="3" t="s">
        <v>322</v>
      </c>
      <c r="M57" s="3" t="s">
        <v>322</v>
      </c>
      <c r="N57" s="3" t="s">
        <v>323</v>
      </c>
      <c r="O57" s="3" t="s">
        <v>324</v>
      </c>
      <c r="P57" s="3" t="s">
        <v>324</v>
      </c>
      <c r="Q57" s="3" t="s">
        <v>324</v>
      </c>
      <c r="R57" s="3" t="s">
        <v>324</v>
      </c>
      <c r="S57" s="3" t="s">
        <v>324</v>
      </c>
      <c r="T57" s="3" t="s">
        <v>324</v>
      </c>
      <c r="U57" s="3">
        <v>741</v>
      </c>
      <c r="V57" s="4">
        <v>40603</v>
      </c>
      <c r="W57" s="3" t="s">
        <v>33</v>
      </c>
      <c r="X57" s="3" t="s">
        <v>319</v>
      </c>
    </row>
    <row r="58" spans="1:24" ht="27.95" x14ac:dyDescent="0.3">
      <c r="A58" s="3">
        <v>52</v>
      </c>
      <c r="B58" s="3" t="str">
        <f>"1314729"</f>
        <v>1314729</v>
      </c>
      <c r="C58" s="3">
        <v>39588</v>
      </c>
      <c r="D58" s="3" t="s">
        <v>325</v>
      </c>
      <c r="E58" s="3">
        <v>10021726643</v>
      </c>
      <c r="F58" s="3" t="s">
        <v>326</v>
      </c>
      <c r="G58" s="3" t="s">
        <v>327</v>
      </c>
      <c r="H58" s="3" t="s">
        <v>45</v>
      </c>
      <c r="I58" s="3" t="s">
        <v>328</v>
      </c>
      <c r="J58" s="3" t="s">
        <v>329</v>
      </c>
      <c r="K58" s="3" t="s">
        <v>31</v>
      </c>
      <c r="L58" s="3" t="s">
        <v>50</v>
      </c>
      <c r="M58" s="3" t="s">
        <v>48</v>
      </c>
      <c r="N58" s="3" t="s">
        <v>145</v>
      </c>
      <c r="O58" s="3"/>
      <c r="P58" s="3"/>
      <c r="Q58" s="3"/>
      <c r="R58" s="3"/>
      <c r="S58" s="3"/>
      <c r="T58" s="3"/>
      <c r="U58" s="3">
        <v>330</v>
      </c>
      <c r="V58" s="4">
        <v>36921</v>
      </c>
      <c r="W58" s="3" t="s">
        <v>33</v>
      </c>
      <c r="X58" s="3" t="s">
        <v>330</v>
      </c>
    </row>
    <row r="59" spans="1:24" ht="27.95" x14ac:dyDescent="0.3">
      <c r="A59" s="3">
        <v>53</v>
      </c>
      <c r="B59" s="3" t="str">
        <f>"201300127325"</f>
        <v>201300127325</v>
      </c>
      <c r="C59" s="3">
        <v>102505</v>
      </c>
      <c r="D59" s="3" t="s">
        <v>331</v>
      </c>
      <c r="E59" s="3">
        <v>20393807149</v>
      </c>
      <c r="F59" s="3" t="s">
        <v>332</v>
      </c>
      <c r="G59" s="3" t="s">
        <v>333</v>
      </c>
      <c r="H59" s="3" t="s">
        <v>92</v>
      </c>
      <c r="I59" s="3" t="s">
        <v>246</v>
      </c>
      <c r="J59" s="3" t="s">
        <v>334</v>
      </c>
      <c r="K59" s="3" t="s">
        <v>31</v>
      </c>
      <c r="L59" s="3" t="s">
        <v>50</v>
      </c>
      <c r="M59" s="3" t="s">
        <v>264</v>
      </c>
      <c r="N59" s="3" t="s">
        <v>41</v>
      </c>
      <c r="O59" s="3"/>
      <c r="P59" s="3"/>
      <c r="Q59" s="3"/>
      <c r="R59" s="3"/>
      <c r="S59" s="3"/>
      <c r="T59" s="3"/>
      <c r="U59" s="3">
        <v>330</v>
      </c>
      <c r="V59" s="4">
        <v>41499</v>
      </c>
      <c r="W59" s="3" t="s">
        <v>33</v>
      </c>
      <c r="X59" s="3" t="s">
        <v>335</v>
      </c>
    </row>
    <row r="60" spans="1:24" ht="27.95" x14ac:dyDescent="0.3">
      <c r="A60" s="3">
        <v>54</v>
      </c>
      <c r="B60" s="3" t="str">
        <f>"201800052676"</f>
        <v>201800052676</v>
      </c>
      <c r="C60" s="3">
        <v>83835</v>
      </c>
      <c r="D60" s="3" t="s">
        <v>336</v>
      </c>
      <c r="E60" s="3">
        <v>10436731634</v>
      </c>
      <c r="F60" s="3" t="s">
        <v>337</v>
      </c>
      <c r="G60" s="3" t="s">
        <v>338</v>
      </c>
      <c r="H60" s="3" t="s">
        <v>45</v>
      </c>
      <c r="I60" s="3" t="s">
        <v>46</v>
      </c>
      <c r="J60" s="3" t="s">
        <v>339</v>
      </c>
      <c r="K60" s="3" t="s">
        <v>31</v>
      </c>
      <c r="L60" s="3"/>
      <c r="M60" s="3" t="s">
        <v>340</v>
      </c>
      <c r="N60" s="3"/>
      <c r="O60" s="3"/>
      <c r="P60" s="3"/>
      <c r="Q60" s="3"/>
      <c r="R60" s="3"/>
      <c r="S60" s="3"/>
      <c r="T60" s="3"/>
      <c r="U60" s="3">
        <v>715</v>
      </c>
      <c r="V60" s="4">
        <v>43195</v>
      </c>
      <c r="W60" s="3" t="s">
        <v>33</v>
      </c>
      <c r="X60" s="3" t="s">
        <v>337</v>
      </c>
    </row>
    <row r="61" spans="1:24" ht="27.95" x14ac:dyDescent="0.3">
      <c r="A61" s="3">
        <v>55</v>
      </c>
      <c r="B61" s="3" t="str">
        <f>"201900180249"</f>
        <v>201900180249</v>
      </c>
      <c r="C61" s="3">
        <v>147541</v>
      </c>
      <c r="D61" s="3" t="s">
        <v>341</v>
      </c>
      <c r="E61" s="3">
        <v>20602078176</v>
      </c>
      <c r="F61" s="3" t="s">
        <v>342</v>
      </c>
      <c r="G61" s="3" t="s">
        <v>343</v>
      </c>
      <c r="H61" s="3" t="s">
        <v>344</v>
      </c>
      <c r="I61" s="3" t="s">
        <v>345</v>
      </c>
      <c r="J61" s="3" t="s">
        <v>346</v>
      </c>
      <c r="K61" s="3" t="s">
        <v>31</v>
      </c>
      <c r="L61" s="3" t="s">
        <v>347</v>
      </c>
      <c r="M61" s="3"/>
      <c r="N61" s="3"/>
      <c r="O61" s="3"/>
      <c r="P61" s="3"/>
      <c r="Q61" s="3"/>
      <c r="R61" s="3"/>
      <c r="S61" s="3"/>
      <c r="T61" s="3"/>
      <c r="U61" s="3">
        <v>715</v>
      </c>
      <c r="V61" s="4">
        <v>43781</v>
      </c>
      <c r="W61" s="3" t="s">
        <v>33</v>
      </c>
      <c r="X61" s="3" t="s">
        <v>348</v>
      </c>
    </row>
    <row r="62" spans="1:24" ht="27.95" x14ac:dyDescent="0.3">
      <c r="A62" s="3">
        <v>56</v>
      </c>
      <c r="B62" s="3" t="str">
        <f>"1472458"</f>
        <v>1472458</v>
      </c>
      <c r="C62" s="3">
        <v>90927</v>
      </c>
      <c r="D62" s="3" t="s">
        <v>349</v>
      </c>
      <c r="E62" s="3">
        <v>10016983581</v>
      </c>
      <c r="F62" s="3" t="s">
        <v>350</v>
      </c>
      <c r="G62" s="3" t="s">
        <v>351</v>
      </c>
      <c r="H62" s="3" t="s">
        <v>45</v>
      </c>
      <c r="I62" s="3" t="s">
        <v>352</v>
      </c>
      <c r="J62" s="3" t="s">
        <v>353</v>
      </c>
      <c r="K62" s="3" t="s">
        <v>31</v>
      </c>
      <c r="L62" s="3" t="s">
        <v>322</v>
      </c>
      <c r="M62" s="3" t="s">
        <v>323</v>
      </c>
      <c r="N62" s="3" t="s">
        <v>322</v>
      </c>
      <c r="O62" s="3" t="s">
        <v>324</v>
      </c>
      <c r="P62" s="3" t="s">
        <v>324</v>
      </c>
      <c r="Q62" s="3" t="s">
        <v>324</v>
      </c>
      <c r="R62" s="3" t="s">
        <v>324</v>
      </c>
      <c r="S62" s="3" t="s">
        <v>324</v>
      </c>
      <c r="T62" s="3" t="s">
        <v>324</v>
      </c>
      <c r="U62" s="3">
        <v>741</v>
      </c>
      <c r="V62" s="4">
        <v>40610</v>
      </c>
      <c r="W62" s="3" t="s">
        <v>33</v>
      </c>
      <c r="X62" s="3" t="s">
        <v>350</v>
      </c>
    </row>
    <row r="63" spans="1:24" ht="27.95" x14ac:dyDescent="0.3">
      <c r="A63" s="3">
        <v>57</v>
      </c>
      <c r="B63" s="3" t="str">
        <f>"201700096503"</f>
        <v>201700096503</v>
      </c>
      <c r="C63" s="3">
        <v>123973</v>
      </c>
      <c r="D63" s="3" t="s">
        <v>354</v>
      </c>
      <c r="E63" s="3">
        <v>10198740158</v>
      </c>
      <c r="F63" s="3" t="s">
        <v>355</v>
      </c>
      <c r="G63" s="3" t="s">
        <v>356</v>
      </c>
      <c r="H63" s="3" t="s">
        <v>37</v>
      </c>
      <c r="I63" s="3" t="s">
        <v>357</v>
      </c>
      <c r="J63" s="3" t="s">
        <v>358</v>
      </c>
      <c r="K63" s="3" t="s">
        <v>31</v>
      </c>
      <c r="L63" s="3" t="s">
        <v>359</v>
      </c>
      <c r="M63" s="3"/>
      <c r="N63" s="3"/>
      <c r="O63" s="3"/>
      <c r="P63" s="3"/>
      <c r="Q63" s="3"/>
      <c r="R63" s="3"/>
      <c r="S63" s="3"/>
      <c r="T63" s="3"/>
      <c r="U63" s="3">
        <v>275</v>
      </c>
      <c r="V63" s="4">
        <v>42912</v>
      </c>
      <c r="W63" s="3" t="s">
        <v>33</v>
      </c>
      <c r="X63" s="3" t="s">
        <v>355</v>
      </c>
    </row>
    <row r="64" spans="1:24" ht="27.95" x14ac:dyDescent="0.3">
      <c r="A64" s="3">
        <v>58</v>
      </c>
      <c r="B64" s="3" t="str">
        <f>"202000120903"</f>
        <v>202000120903</v>
      </c>
      <c r="C64" s="3">
        <v>151145</v>
      </c>
      <c r="D64" s="3" t="s">
        <v>360</v>
      </c>
      <c r="E64" s="3">
        <v>20606150688</v>
      </c>
      <c r="F64" s="3" t="s">
        <v>361</v>
      </c>
      <c r="G64" s="3" t="s">
        <v>362</v>
      </c>
      <c r="H64" s="3" t="s">
        <v>84</v>
      </c>
      <c r="I64" s="3" t="s">
        <v>363</v>
      </c>
      <c r="J64" s="3" t="s">
        <v>364</v>
      </c>
      <c r="K64" s="3" t="s">
        <v>31</v>
      </c>
      <c r="L64" s="3" t="s">
        <v>269</v>
      </c>
      <c r="M64" s="3" t="s">
        <v>95</v>
      </c>
      <c r="N64" s="3"/>
      <c r="O64" s="3"/>
      <c r="P64" s="3"/>
      <c r="Q64" s="3"/>
      <c r="R64" s="3"/>
      <c r="S64" s="3"/>
      <c r="T64" s="3"/>
      <c r="U64" s="3">
        <v>715</v>
      </c>
      <c r="V64" s="4">
        <v>44085</v>
      </c>
      <c r="W64" s="3" t="s">
        <v>33</v>
      </c>
      <c r="X64" s="3" t="s">
        <v>365</v>
      </c>
    </row>
    <row r="65" spans="1:24" ht="27.95" x14ac:dyDescent="0.3">
      <c r="A65" s="3">
        <v>59</v>
      </c>
      <c r="B65" s="3" t="str">
        <f>"1399864"</f>
        <v>1399864</v>
      </c>
      <c r="C65" s="3">
        <v>33871</v>
      </c>
      <c r="D65" s="3" t="s">
        <v>366</v>
      </c>
      <c r="E65" s="3">
        <v>15438128660</v>
      </c>
      <c r="F65" s="3" t="s">
        <v>367</v>
      </c>
      <c r="G65" s="3" t="s">
        <v>368</v>
      </c>
      <c r="H65" s="3" t="s">
        <v>225</v>
      </c>
      <c r="I65" s="3" t="s">
        <v>268</v>
      </c>
      <c r="J65" s="3" t="s">
        <v>268</v>
      </c>
      <c r="K65" s="3" t="s">
        <v>31</v>
      </c>
      <c r="L65" s="3" t="s">
        <v>48</v>
      </c>
      <c r="M65" s="3" t="s">
        <v>369</v>
      </c>
      <c r="N65" s="3" t="s">
        <v>269</v>
      </c>
      <c r="O65" s="3"/>
      <c r="P65" s="3"/>
      <c r="Q65" s="3"/>
      <c r="R65" s="3"/>
      <c r="S65" s="3"/>
      <c r="T65" s="3"/>
      <c r="U65" s="3">
        <v>342</v>
      </c>
      <c r="V65" s="4">
        <v>37645</v>
      </c>
      <c r="W65" s="3" t="s">
        <v>33</v>
      </c>
      <c r="X65" s="3" t="s">
        <v>370</v>
      </c>
    </row>
    <row r="66" spans="1:24" ht="27.95" x14ac:dyDescent="0.3">
      <c r="A66" s="3">
        <v>60</v>
      </c>
      <c r="B66" s="3" t="str">
        <f>"201200090970"</f>
        <v>201200090970</v>
      </c>
      <c r="C66" s="3">
        <v>92766</v>
      </c>
      <c r="D66" s="3" t="s">
        <v>371</v>
      </c>
      <c r="E66" s="3">
        <v>20528496084</v>
      </c>
      <c r="F66" s="3" t="s">
        <v>372</v>
      </c>
      <c r="G66" s="3" t="s">
        <v>373</v>
      </c>
      <c r="H66" s="3" t="s">
        <v>84</v>
      </c>
      <c r="I66" s="3" t="s">
        <v>308</v>
      </c>
      <c r="J66" s="3" t="s">
        <v>374</v>
      </c>
      <c r="K66" s="3" t="s">
        <v>31</v>
      </c>
      <c r="L66" s="3" t="s">
        <v>324</v>
      </c>
      <c r="M66" s="3" t="s">
        <v>324</v>
      </c>
      <c r="N66" s="3" t="s">
        <v>324</v>
      </c>
      <c r="O66" s="3" t="s">
        <v>324</v>
      </c>
      <c r="P66" s="3" t="s">
        <v>324</v>
      </c>
      <c r="Q66" s="3" t="s">
        <v>324</v>
      </c>
      <c r="R66" s="3" t="s">
        <v>324</v>
      </c>
      <c r="S66" s="3" t="s">
        <v>324</v>
      </c>
      <c r="T66" s="3" t="s">
        <v>324</v>
      </c>
      <c r="U66" s="3">
        <v>741</v>
      </c>
      <c r="V66" s="4">
        <v>41061</v>
      </c>
      <c r="W66" s="3" t="s">
        <v>33</v>
      </c>
      <c r="X66" s="3" t="s">
        <v>375</v>
      </c>
    </row>
    <row r="67" spans="1:24" ht="27.95" x14ac:dyDescent="0.3">
      <c r="A67" s="3">
        <v>61</v>
      </c>
      <c r="B67" s="3" t="str">
        <f>"201200143134"</f>
        <v>201200143134</v>
      </c>
      <c r="C67" s="3">
        <v>18795</v>
      </c>
      <c r="D67" s="3" t="s">
        <v>376</v>
      </c>
      <c r="E67" s="3">
        <v>10016930232</v>
      </c>
      <c r="F67" s="3" t="s">
        <v>377</v>
      </c>
      <c r="G67" s="3" t="s">
        <v>378</v>
      </c>
      <c r="H67" s="3" t="s">
        <v>45</v>
      </c>
      <c r="I67" s="3" t="s">
        <v>352</v>
      </c>
      <c r="J67" s="3" t="s">
        <v>353</v>
      </c>
      <c r="K67" s="3" t="s">
        <v>31</v>
      </c>
      <c r="L67" s="3" t="s">
        <v>379</v>
      </c>
      <c r="M67" s="3"/>
      <c r="N67" s="3"/>
      <c r="O67" s="3"/>
      <c r="P67" s="3"/>
      <c r="Q67" s="3"/>
      <c r="R67" s="3"/>
      <c r="S67" s="3"/>
      <c r="T67" s="3"/>
      <c r="U67" s="3">
        <v>440</v>
      </c>
      <c r="V67" s="4">
        <v>41121</v>
      </c>
      <c r="W67" s="3" t="s">
        <v>33</v>
      </c>
      <c r="X67" s="3" t="s">
        <v>377</v>
      </c>
    </row>
    <row r="68" spans="1:24" ht="27.95" x14ac:dyDescent="0.3">
      <c r="A68" s="3">
        <v>62</v>
      </c>
      <c r="B68" s="3" t="str">
        <f>"1426505"</f>
        <v>1426505</v>
      </c>
      <c r="C68" s="3">
        <v>35364</v>
      </c>
      <c r="D68" s="3" t="s">
        <v>380</v>
      </c>
      <c r="E68" s="3">
        <v>10152146499</v>
      </c>
      <c r="F68" s="3" t="s">
        <v>381</v>
      </c>
      <c r="G68" s="3" t="s">
        <v>382</v>
      </c>
      <c r="H68" s="3" t="s">
        <v>383</v>
      </c>
      <c r="I68" s="3" t="s">
        <v>384</v>
      </c>
      <c r="J68" s="3" t="s">
        <v>385</v>
      </c>
      <c r="K68" s="3" t="s">
        <v>31</v>
      </c>
      <c r="L68" s="3" t="s">
        <v>49</v>
      </c>
      <c r="M68" s="3" t="s">
        <v>164</v>
      </c>
      <c r="N68" s="3"/>
      <c r="O68" s="3"/>
      <c r="P68" s="3"/>
      <c r="Q68" s="3"/>
      <c r="R68" s="3"/>
      <c r="S68" s="3"/>
      <c r="T68" s="3"/>
      <c r="U68" s="3">
        <v>513</v>
      </c>
      <c r="V68" s="4">
        <v>37880</v>
      </c>
      <c r="W68" s="3" t="s">
        <v>33</v>
      </c>
      <c r="X68" s="3" t="s">
        <v>386</v>
      </c>
    </row>
    <row r="69" spans="1:24" ht="41.95" x14ac:dyDescent="0.3">
      <c r="A69" s="3">
        <v>63</v>
      </c>
      <c r="B69" s="3" t="str">
        <f>"201900042643"</f>
        <v>201900042643</v>
      </c>
      <c r="C69" s="3">
        <v>141974</v>
      </c>
      <c r="D69" s="3" t="s">
        <v>387</v>
      </c>
      <c r="E69" s="3">
        <v>10442990781</v>
      </c>
      <c r="F69" s="3" t="s">
        <v>388</v>
      </c>
      <c r="G69" s="3" t="s">
        <v>389</v>
      </c>
      <c r="H69" s="3" t="s">
        <v>28</v>
      </c>
      <c r="I69" s="3" t="s">
        <v>55</v>
      </c>
      <c r="J69" s="3" t="s">
        <v>390</v>
      </c>
      <c r="K69" s="3" t="s">
        <v>31</v>
      </c>
      <c r="L69" s="3" t="s">
        <v>57</v>
      </c>
      <c r="M69" s="3"/>
      <c r="N69" s="3"/>
      <c r="O69" s="3"/>
      <c r="P69" s="3"/>
      <c r="Q69" s="3"/>
      <c r="R69" s="3"/>
      <c r="S69" s="3"/>
      <c r="T69" s="3"/>
      <c r="U69" s="3">
        <v>715</v>
      </c>
      <c r="V69" s="4">
        <v>43540</v>
      </c>
      <c r="W69" s="3" t="s">
        <v>33</v>
      </c>
      <c r="X69" s="3" t="s">
        <v>388</v>
      </c>
    </row>
    <row r="70" spans="1:24" ht="27.95" x14ac:dyDescent="0.3">
      <c r="A70" s="3">
        <v>64</v>
      </c>
      <c r="B70" s="3" t="str">
        <f>"201800158359"</f>
        <v>201800158359</v>
      </c>
      <c r="C70" s="3">
        <v>138785</v>
      </c>
      <c r="D70" s="3" t="s">
        <v>391</v>
      </c>
      <c r="E70" s="3">
        <v>10449472824</v>
      </c>
      <c r="F70" s="3" t="s">
        <v>392</v>
      </c>
      <c r="G70" s="3" t="s">
        <v>393</v>
      </c>
      <c r="H70" s="3" t="s">
        <v>45</v>
      </c>
      <c r="I70" s="3" t="s">
        <v>252</v>
      </c>
      <c r="J70" s="3" t="s">
        <v>279</v>
      </c>
      <c r="K70" s="3" t="s">
        <v>31</v>
      </c>
      <c r="L70" s="3" t="s">
        <v>340</v>
      </c>
      <c r="M70" s="3"/>
      <c r="N70" s="3"/>
      <c r="O70" s="3"/>
      <c r="P70" s="3"/>
      <c r="Q70" s="3"/>
      <c r="R70" s="3"/>
      <c r="S70" s="3"/>
      <c r="T70" s="3"/>
      <c r="U70" s="3">
        <v>715</v>
      </c>
      <c r="V70" s="4">
        <v>43364</v>
      </c>
      <c r="W70" s="3" t="s">
        <v>33</v>
      </c>
      <c r="X70" s="3" t="s">
        <v>392</v>
      </c>
    </row>
    <row r="71" spans="1:24" ht="27.95" x14ac:dyDescent="0.3">
      <c r="A71" s="3">
        <v>65</v>
      </c>
      <c r="B71" s="3" t="str">
        <f>"201700152394"</f>
        <v>201700152394</v>
      </c>
      <c r="C71" s="3">
        <v>131877</v>
      </c>
      <c r="D71" s="3" t="s">
        <v>394</v>
      </c>
      <c r="E71" s="3">
        <v>20542372274</v>
      </c>
      <c r="F71" s="3" t="s">
        <v>395</v>
      </c>
      <c r="G71" s="3" t="s">
        <v>396</v>
      </c>
      <c r="H71" s="3" t="s">
        <v>233</v>
      </c>
      <c r="I71" s="3" t="s">
        <v>262</v>
      </c>
      <c r="J71" s="3" t="s">
        <v>397</v>
      </c>
      <c r="K71" s="3" t="s">
        <v>31</v>
      </c>
      <c r="L71" s="3" t="s">
        <v>50</v>
      </c>
      <c r="M71" s="3" t="s">
        <v>264</v>
      </c>
      <c r="N71" s="3" t="s">
        <v>41</v>
      </c>
      <c r="O71" s="3"/>
      <c r="P71" s="3"/>
      <c r="Q71" s="3"/>
      <c r="R71" s="3"/>
      <c r="S71" s="3"/>
      <c r="T71" s="3"/>
      <c r="U71" s="3">
        <v>330</v>
      </c>
      <c r="V71" s="4">
        <v>43000</v>
      </c>
      <c r="W71" s="3" t="s">
        <v>33</v>
      </c>
      <c r="X71" s="3" t="s">
        <v>398</v>
      </c>
    </row>
    <row r="72" spans="1:24" ht="27.95" x14ac:dyDescent="0.3">
      <c r="A72" s="3">
        <v>66</v>
      </c>
      <c r="B72" s="3" t="str">
        <f>"1312166"</f>
        <v>1312166</v>
      </c>
      <c r="C72" s="3">
        <v>20114</v>
      </c>
      <c r="D72" s="3" t="s">
        <v>399</v>
      </c>
      <c r="E72" s="3">
        <v>10334324376</v>
      </c>
      <c r="F72" s="3" t="s">
        <v>400</v>
      </c>
      <c r="G72" s="3" t="s">
        <v>401</v>
      </c>
      <c r="H72" s="3" t="s">
        <v>225</v>
      </c>
      <c r="I72" s="3" t="s">
        <v>402</v>
      </c>
      <c r="J72" s="3" t="s">
        <v>403</v>
      </c>
      <c r="K72" s="3" t="s">
        <v>31</v>
      </c>
      <c r="L72" s="3" t="s">
        <v>50</v>
      </c>
      <c r="M72" s="3" t="s">
        <v>164</v>
      </c>
      <c r="N72" s="3" t="s">
        <v>139</v>
      </c>
      <c r="O72" s="3"/>
      <c r="P72" s="3"/>
      <c r="Q72" s="3"/>
      <c r="R72" s="3"/>
      <c r="S72" s="3"/>
      <c r="T72" s="3"/>
      <c r="U72" s="3">
        <v>1100</v>
      </c>
      <c r="V72" s="4">
        <v>36861</v>
      </c>
      <c r="W72" s="3" t="s">
        <v>33</v>
      </c>
      <c r="X72" s="3" t="s">
        <v>404</v>
      </c>
    </row>
    <row r="73" spans="1:24" ht="27.95" x14ac:dyDescent="0.3">
      <c r="A73" s="3">
        <v>67</v>
      </c>
      <c r="B73" s="3" t="str">
        <f>"201300046693"</f>
        <v>201300046693</v>
      </c>
      <c r="C73" s="3">
        <v>17919</v>
      </c>
      <c r="D73" s="3" t="s">
        <v>405</v>
      </c>
      <c r="E73" s="3">
        <v>10015552901</v>
      </c>
      <c r="F73" s="3" t="s">
        <v>406</v>
      </c>
      <c r="G73" s="3" t="s">
        <v>407</v>
      </c>
      <c r="H73" s="3" t="s">
        <v>45</v>
      </c>
      <c r="I73" s="3" t="s">
        <v>46</v>
      </c>
      <c r="J73" s="3" t="s">
        <v>46</v>
      </c>
      <c r="K73" s="3" t="s">
        <v>31</v>
      </c>
      <c r="L73" s="3" t="s">
        <v>182</v>
      </c>
      <c r="M73" s="3" t="s">
        <v>181</v>
      </c>
      <c r="N73" s="3"/>
      <c r="O73" s="3"/>
      <c r="P73" s="3"/>
      <c r="Q73" s="3"/>
      <c r="R73" s="3"/>
      <c r="S73" s="3"/>
      <c r="T73" s="3"/>
      <c r="U73" s="3">
        <v>330</v>
      </c>
      <c r="V73" s="4">
        <v>41336</v>
      </c>
      <c r="W73" s="3" t="s">
        <v>33</v>
      </c>
      <c r="X73" s="3" t="s">
        <v>406</v>
      </c>
    </row>
    <row r="74" spans="1:24" ht="27.95" x14ac:dyDescent="0.3">
      <c r="A74" s="3">
        <v>68</v>
      </c>
      <c r="B74" s="3" t="str">
        <f>"1454633"</f>
        <v>1454633</v>
      </c>
      <c r="C74" s="3">
        <v>18857</v>
      </c>
      <c r="D74" s="3" t="s">
        <v>408</v>
      </c>
      <c r="E74" s="3">
        <v>10415919218</v>
      </c>
      <c r="F74" s="3" t="s">
        <v>409</v>
      </c>
      <c r="G74" s="3" t="s">
        <v>410</v>
      </c>
      <c r="H74" s="3" t="s">
        <v>45</v>
      </c>
      <c r="I74" s="3" t="s">
        <v>46</v>
      </c>
      <c r="J74" s="3" t="s">
        <v>411</v>
      </c>
      <c r="K74" s="3" t="s">
        <v>31</v>
      </c>
      <c r="L74" s="3" t="s">
        <v>164</v>
      </c>
      <c r="M74" s="3" t="s">
        <v>139</v>
      </c>
      <c r="N74" s="3" t="s">
        <v>50</v>
      </c>
      <c r="O74" s="3"/>
      <c r="P74" s="3"/>
      <c r="Q74" s="3"/>
      <c r="R74" s="3"/>
      <c r="S74" s="3"/>
      <c r="T74" s="3"/>
      <c r="U74" s="3">
        <v>440</v>
      </c>
      <c r="V74" s="4">
        <v>37992</v>
      </c>
      <c r="W74" s="3" t="s">
        <v>33</v>
      </c>
      <c r="X74" s="3" t="s">
        <v>412</v>
      </c>
    </row>
    <row r="75" spans="1:24" ht="27.95" x14ac:dyDescent="0.3">
      <c r="A75" s="3">
        <v>69</v>
      </c>
      <c r="B75" s="3" t="str">
        <f>"201700029665"</f>
        <v>201700029665</v>
      </c>
      <c r="C75" s="3">
        <v>126922</v>
      </c>
      <c r="D75" s="3" t="s">
        <v>413</v>
      </c>
      <c r="E75" s="3">
        <v>10420787303</v>
      </c>
      <c r="F75" s="3" t="s">
        <v>414</v>
      </c>
      <c r="G75" s="3" t="s">
        <v>415</v>
      </c>
      <c r="H75" s="3" t="s">
        <v>73</v>
      </c>
      <c r="I75" s="3" t="s">
        <v>416</v>
      </c>
      <c r="J75" s="3" t="s">
        <v>417</v>
      </c>
      <c r="K75" s="3" t="s">
        <v>31</v>
      </c>
      <c r="L75" s="3" t="s">
        <v>64</v>
      </c>
      <c r="M75" s="3" t="s">
        <v>65</v>
      </c>
      <c r="N75" s="3"/>
      <c r="O75" s="3"/>
      <c r="P75" s="3"/>
      <c r="Q75" s="3"/>
      <c r="R75" s="3"/>
      <c r="S75" s="3"/>
      <c r="T75" s="3"/>
      <c r="U75" s="3">
        <v>330</v>
      </c>
      <c r="V75" s="4">
        <v>42815</v>
      </c>
      <c r="W75" s="3" t="s">
        <v>33</v>
      </c>
      <c r="X75" s="3" t="s">
        <v>414</v>
      </c>
    </row>
    <row r="76" spans="1:24" ht="27.95" x14ac:dyDescent="0.3">
      <c r="A76" s="3">
        <v>70</v>
      </c>
      <c r="B76" s="3" t="str">
        <f>"201300157258"</f>
        <v>201300157258</v>
      </c>
      <c r="C76" s="3">
        <v>104981</v>
      </c>
      <c r="D76" s="3" t="s">
        <v>418</v>
      </c>
      <c r="E76" s="3">
        <v>10055888171</v>
      </c>
      <c r="F76" s="3" t="s">
        <v>419</v>
      </c>
      <c r="G76" s="3" t="s">
        <v>420</v>
      </c>
      <c r="H76" s="3" t="s">
        <v>84</v>
      </c>
      <c r="I76" s="3" t="s">
        <v>421</v>
      </c>
      <c r="J76" s="3" t="s">
        <v>422</v>
      </c>
      <c r="K76" s="3" t="s">
        <v>31</v>
      </c>
      <c r="L76" s="3"/>
      <c r="M76" s="3"/>
      <c r="N76" s="3"/>
      <c r="O76" s="3"/>
      <c r="P76" s="3" t="s">
        <v>87</v>
      </c>
      <c r="Q76" s="3" t="s">
        <v>41</v>
      </c>
      <c r="R76" s="3"/>
      <c r="S76" s="3"/>
      <c r="T76" s="3"/>
      <c r="U76" s="3">
        <v>330</v>
      </c>
      <c r="V76" s="4">
        <v>41570</v>
      </c>
      <c r="W76" s="3" t="s">
        <v>33</v>
      </c>
      <c r="X76" s="3" t="s">
        <v>419</v>
      </c>
    </row>
    <row r="77" spans="1:24" ht="27.95" x14ac:dyDescent="0.3">
      <c r="A77" s="3">
        <v>71</v>
      </c>
      <c r="B77" s="3" t="str">
        <f>"1471431"</f>
        <v>1471431</v>
      </c>
      <c r="C77" s="3">
        <v>18794</v>
      </c>
      <c r="D77" s="3" t="s">
        <v>423</v>
      </c>
      <c r="E77" s="3">
        <v>20447950350</v>
      </c>
      <c r="F77" s="3" t="s">
        <v>424</v>
      </c>
      <c r="G77" s="3" t="s">
        <v>425</v>
      </c>
      <c r="H77" s="3" t="s">
        <v>45</v>
      </c>
      <c r="I77" s="3" t="s">
        <v>46</v>
      </c>
      <c r="J77" s="3" t="s">
        <v>46</v>
      </c>
      <c r="K77" s="3" t="s">
        <v>31</v>
      </c>
      <c r="L77" s="3" t="s">
        <v>426</v>
      </c>
      <c r="M77" s="3" t="s">
        <v>427</v>
      </c>
      <c r="N77" s="3" t="s">
        <v>428</v>
      </c>
      <c r="O77" s="3" t="s">
        <v>428</v>
      </c>
      <c r="P77" s="3" t="s">
        <v>428</v>
      </c>
      <c r="Q77" s="3"/>
      <c r="R77" s="3"/>
      <c r="S77" s="3"/>
      <c r="T77" s="3"/>
      <c r="U77" s="3">
        <v>440</v>
      </c>
      <c r="V77" s="4">
        <v>40603</v>
      </c>
      <c r="W77" s="3" t="s">
        <v>33</v>
      </c>
      <c r="X77" s="3" t="s">
        <v>429</v>
      </c>
    </row>
    <row r="78" spans="1:24" ht="27.95" x14ac:dyDescent="0.3">
      <c r="A78" s="3">
        <v>72</v>
      </c>
      <c r="B78" s="3" t="str">
        <f>"1568353"</f>
        <v>1568353</v>
      </c>
      <c r="C78" s="3">
        <v>20988</v>
      </c>
      <c r="D78" s="3" t="s">
        <v>430</v>
      </c>
      <c r="E78" s="3">
        <v>10295892833</v>
      </c>
      <c r="F78" s="3" t="s">
        <v>431</v>
      </c>
      <c r="G78" s="3" t="s">
        <v>432</v>
      </c>
      <c r="H78" s="3" t="s">
        <v>433</v>
      </c>
      <c r="I78" s="3" t="s">
        <v>434</v>
      </c>
      <c r="J78" s="3" t="s">
        <v>435</v>
      </c>
      <c r="K78" s="3" t="s">
        <v>31</v>
      </c>
      <c r="L78" s="3" t="s">
        <v>164</v>
      </c>
      <c r="M78" s="3" t="s">
        <v>50</v>
      </c>
      <c r="N78" s="3" t="s">
        <v>139</v>
      </c>
      <c r="O78" s="3"/>
      <c r="P78" s="3"/>
      <c r="Q78" s="3"/>
      <c r="R78" s="3"/>
      <c r="S78" s="3"/>
      <c r="T78" s="3"/>
      <c r="U78" s="3">
        <v>440</v>
      </c>
      <c r="V78" s="4">
        <v>38646</v>
      </c>
      <c r="W78" s="3" t="s">
        <v>33</v>
      </c>
      <c r="X78" s="3" t="s">
        <v>436</v>
      </c>
    </row>
    <row r="79" spans="1:24" ht="27.95" x14ac:dyDescent="0.3">
      <c r="A79" s="3">
        <v>73</v>
      </c>
      <c r="B79" s="3" t="str">
        <f>"201300058741"</f>
        <v>201300058741</v>
      </c>
      <c r="C79" s="3">
        <v>40126</v>
      </c>
      <c r="D79" s="3" t="s">
        <v>437</v>
      </c>
      <c r="E79" s="3">
        <v>10018588477</v>
      </c>
      <c r="F79" s="3" t="s">
        <v>438</v>
      </c>
      <c r="G79" s="3" t="s">
        <v>439</v>
      </c>
      <c r="H79" s="3" t="s">
        <v>45</v>
      </c>
      <c r="I79" s="3" t="s">
        <v>440</v>
      </c>
      <c r="J79" s="3" t="s">
        <v>441</v>
      </c>
      <c r="K79" s="3" t="s">
        <v>31</v>
      </c>
      <c r="L79" s="3" t="s">
        <v>182</v>
      </c>
      <c r="M79" s="3" t="s">
        <v>181</v>
      </c>
      <c r="N79" s="3"/>
      <c r="O79" s="3"/>
      <c r="P79" s="3"/>
      <c r="Q79" s="3"/>
      <c r="R79" s="3"/>
      <c r="S79" s="3"/>
      <c r="T79" s="3"/>
      <c r="U79" s="3">
        <v>330</v>
      </c>
      <c r="V79" s="4">
        <v>41358</v>
      </c>
      <c r="W79" s="3" t="s">
        <v>33</v>
      </c>
      <c r="X79" s="3" t="s">
        <v>438</v>
      </c>
    </row>
    <row r="80" spans="1:24" ht="27.95" x14ac:dyDescent="0.3">
      <c r="A80" s="3">
        <v>74</v>
      </c>
      <c r="B80" s="3" t="str">
        <f>"201800169445"</f>
        <v>201800169445</v>
      </c>
      <c r="C80" s="3">
        <v>139091</v>
      </c>
      <c r="D80" s="3" t="s">
        <v>442</v>
      </c>
      <c r="E80" s="3">
        <v>10439635652</v>
      </c>
      <c r="F80" s="3" t="s">
        <v>443</v>
      </c>
      <c r="G80" s="3" t="s">
        <v>444</v>
      </c>
      <c r="H80" s="3" t="s">
        <v>233</v>
      </c>
      <c r="I80" s="3" t="s">
        <v>274</v>
      </c>
      <c r="J80" s="3" t="s">
        <v>274</v>
      </c>
      <c r="K80" s="3" t="s">
        <v>31</v>
      </c>
      <c r="L80" s="3"/>
      <c r="M80" s="3"/>
      <c r="N80" s="3"/>
      <c r="O80" s="3" t="s">
        <v>428</v>
      </c>
      <c r="P80" s="3" t="s">
        <v>50</v>
      </c>
      <c r="Q80" s="3" t="s">
        <v>237</v>
      </c>
      <c r="R80" s="3"/>
      <c r="S80" s="3"/>
      <c r="T80" s="3"/>
      <c r="U80" s="3">
        <v>220</v>
      </c>
      <c r="V80" s="4">
        <v>43387</v>
      </c>
      <c r="W80" s="3" t="s">
        <v>33</v>
      </c>
      <c r="X80" s="3" t="s">
        <v>443</v>
      </c>
    </row>
    <row r="81" spans="1:24" ht="27.95" x14ac:dyDescent="0.3">
      <c r="A81" s="3">
        <v>75</v>
      </c>
      <c r="B81" s="3" t="str">
        <f>"201900182607"</f>
        <v>201900182607</v>
      </c>
      <c r="C81" s="3">
        <v>20082</v>
      </c>
      <c r="D81" s="3" t="s">
        <v>445</v>
      </c>
      <c r="E81" s="3">
        <v>20605294759</v>
      </c>
      <c r="F81" s="3" t="s">
        <v>446</v>
      </c>
      <c r="G81" s="3" t="s">
        <v>447</v>
      </c>
      <c r="H81" s="3" t="s">
        <v>45</v>
      </c>
      <c r="I81" s="3" t="s">
        <v>448</v>
      </c>
      <c r="J81" s="3" t="s">
        <v>449</v>
      </c>
      <c r="K81" s="3" t="s">
        <v>31</v>
      </c>
      <c r="L81" s="3" t="s">
        <v>80</v>
      </c>
      <c r="M81" s="3"/>
      <c r="N81" s="3"/>
      <c r="O81" s="3"/>
      <c r="P81" s="3"/>
      <c r="Q81" s="3"/>
      <c r="R81" s="3"/>
      <c r="S81" s="3"/>
      <c r="T81" s="3"/>
      <c r="U81" s="3">
        <v>330</v>
      </c>
      <c r="V81" s="4">
        <v>43775</v>
      </c>
      <c r="W81" s="3" t="s">
        <v>33</v>
      </c>
      <c r="X81" s="3" t="s">
        <v>450</v>
      </c>
    </row>
    <row r="82" spans="1:24" ht="27.95" x14ac:dyDescent="0.3">
      <c r="A82" s="3">
        <v>76</v>
      </c>
      <c r="B82" s="3" t="str">
        <f>"201800138231"</f>
        <v>201800138231</v>
      </c>
      <c r="C82" s="3">
        <v>138144</v>
      </c>
      <c r="D82" s="3" t="s">
        <v>451</v>
      </c>
      <c r="E82" s="3">
        <v>10018030735</v>
      </c>
      <c r="F82" s="3" t="s">
        <v>452</v>
      </c>
      <c r="G82" s="3" t="s">
        <v>453</v>
      </c>
      <c r="H82" s="3" t="s">
        <v>45</v>
      </c>
      <c r="I82" s="3" t="s">
        <v>214</v>
      </c>
      <c r="J82" s="3" t="s">
        <v>321</v>
      </c>
      <c r="K82" s="3" t="s">
        <v>31</v>
      </c>
      <c r="L82" s="3" t="s">
        <v>340</v>
      </c>
      <c r="M82" s="3"/>
      <c r="N82" s="3"/>
      <c r="O82" s="3"/>
      <c r="P82" s="3"/>
      <c r="Q82" s="3"/>
      <c r="R82" s="3"/>
      <c r="S82" s="3"/>
      <c r="T82" s="3"/>
      <c r="U82" s="3">
        <v>715</v>
      </c>
      <c r="V82" s="4">
        <v>43335</v>
      </c>
      <c r="W82" s="3" t="s">
        <v>33</v>
      </c>
      <c r="X82" s="3" t="s">
        <v>452</v>
      </c>
    </row>
    <row r="83" spans="1:24" ht="27.95" x14ac:dyDescent="0.3">
      <c r="A83" s="3">
        <v>77</v>
      </c>
      <c r="B83" s="3" t="str">
        <f>"1709101"</f>
        <v>1709101</v>
      </c>
      <c r="C83" s="3">
        <v>17899</v>
      </c>
      <c r="D83" s="3" t="s">
        <v>454</v>
      </c>
      <c r="E83" s="3">
        <v>10013125711</v>
      </c>
      <c r="F83" s="3" t="s">
        <v>455</v>
      </c>
      <c r="G83" s="3" t="s">
        <v>456</v>
      </c>
      <c r="H83" s="3" t="s">
        <v>45</v>
      </c>
      <c r="I83" s="3" t="s">
        <v>45</v>
      </c>
      <c r="J83" s="3" t="s">
        <v>169</v>
      </c>
      <c r="K83" s="3" t="s">
        <v>31</v>
      </c>
      <c r="L83" s="3" t="s">
        <v>48</v>
      </c>
      <c r="M83" s="3" t="s">
        <v>50</v>
      </c>
      <c r="N83" s="3" t="s">
        <v>49</v>
      </c>
      <c r="O83" s="3"/>
      <c r="P83" s="3"/>
      <c r="Q83" s="3"/>
      <c r="R83" s="3"/>
      <c r="S83" s="3"/>
      <c r="T83" s="3"/>
      <c r="U83" s="3">
        <v>456</v>
      </c>
      <c r="V83" s="4">
        <v>39260</v>
      </c>
      <c r="W83" s="3" t="s">
        <v>33</v>
      </c>
      <c r="X83" s="3" t="s">
        <v>457</v>
      </c>
    </row>
    <row r="84" spans="1:24" ht="27.95" x14ac:dyDescent="0.3">
      <c r="A84" s="3">
        <v>78</v>
      </c>
      <c r="B84" s="3" t="str">
        <f>"201400077887"</f>
        <v>201400077887</v>
      </c>
      <c r="C84" s="3">
        <v>106363</v>
      </c>
      <c r="D84" s="3" t="s">
        <v>458</v>
      </c>
      <c r="E84" s="3">
        <v>10438158095</v>
      </c>
      <c r="F84" s="3" t="s">
        <v>459</v>
      </c>
      <c r="G84" s="3" t="s">
        <v>460</v>
      </c>
      <c r="H84" s="3" t="s">
        <v>92</v>
      </c>
      <c r="I84" s="3" t="s">
        <v>113</v>
      </c>
      <c r="J84" s="3" t="s">
        <v>113</v>
      </c>
      <c r="K84" s="3" t="s">
        <v>31</v>
      </c>
      <c r="L84" s="3" t="s">
        <v>264</v>
      </c>
      <c r="M84" s="3" t="s">
        <v>50</v>
      </c>
      <c r="N84" s="3" t="s">
        <v>41</v>
      </c>
      <c r="O84" s="3"/>
      <c r="P84" s="3"/>
      <c r="Q84" s="3"/>
      <c r="R84" s="3"/>
      <c r="S84" s="3"/>
      <c r="T84" s="3"/>
      <c r="U84" s="3">
        <v>330</v>
      </c>
      <c r="V84" s="4">
        <v>41809</v>
      </c>
      <c r="W84" s="3" t="s">
        <v>33</v>
      </c>
      <c r="X84" s="3" t="s">
        <v>459</v>
      </c>
    </row>
    <row r="85" spans="1:24" ht="27.95" x14ac:dyDescent="0.3">
      <c r="A85" s="3">
        <v>79</v>
      </c>
      <c r="B85" s="3" t="str">
        <f>"201800178836"</f>
        <v>201800178836</v>
      </c>
      <c r="C85" s="3">
        <v>139344</v>
      </c>
      <c r="D85" s="3" t="s">
        <v>461</v>
      </c>
      <c r="E85" s="3">
        <v>10040821541</v>
      </c>
      <c r="F85" s="3" t="s">
        <v>462</v>
      </c>
      <c r="G85" s="3" t="s">
        <v>463</v>
      </c>
      <c r="H85" s="3" t="s">
        <v>464</v>
      </c>
      <c r="I85" s="3" t="s">
        <v>464</v>
      </c>
      <c r="J85" s="3" t="s">
        <v>174</v>
      </c>
      <c r="K85" s="3" t="s">
        <v>31</v>
      </c>
      <c r="L85" s="3"/>
      <c r="M85" s="3" t="s">
        <v>465</v>
      </c>
      <c r="N85" s="3"/>
      <c r="O85" s="3"/>
      <c r="P85" s="3"/>
      <c r="Q85" s="3"/>
      <c r="R85" s="3"/>
      <c r="S85" s="3"/>
      <c r="T85" s="3"/>
      <c r="U85" s="3">
        <v>275</v>
      </c>
      <c r="V85" s="4">
        <v>43402</v>
      </c>
      <c r="W85" s="3" t="s">
        <v>33</v>
      </c>
      <c r="X85" s="3" t="s">
        <v>462</v>
      </c>
    </row>
    <row r="86" spans="1:24" ht="27.95" x14ac:dyDescent="0.3">
      <c r="A86" s="3">
        <v>80</v>
      </c>
      <c r="B86" s="3" t="str">
        <f>"1299316"</f>
        <v>1299316</v>
      </c>
      <c r="C86" s="3">
        <v>20064</v>
      </c>
      <c r="D86" s="3" t="s">
        <v>466</v>
      </c>
      <c r="E86" s="3">
        <v>10022648760</v>
      </c>
      <c r="F86" s="3" t="s">
        <v>467</v>
      </c>
      <c r="G86" s="3" t="s">
        <v>468</v>
      </c>
      <c r="H86" s="3" t="s">
        <v>45</v>
      </c>
      <c r="I86" s="3" t="s">
        <v>352</v>
      </c>
      <c r="J86" s="3" t="s">
        <v>469</v>
      </c>
      <c r="K86" s="3" t="s">
        <v>31</v>
      </c>
      <c r="L86" s="3" t="s">
        <v>48</v>
      </c>
      <c r="M86" s="3" t="s">
        <v>49</v>
      </c>
      <c r="N86" s="3" t="s">
        <v>50</v>
      </c>
      <c r="O86" s="3"/>
      <c r="P86" s="3"/>
      <c r="Q86" s="3"/>
      <c r="R86" s="3"/>
      <c r="S86" s="3"/>
      <c r="T86" s="3"/>
      <c r="U86" s="3">
        <v>440</v>
      </c>
      <c r="V86" s="4">
        <v>36796</v>
      </c>
      <c r="W86" s="3" t="s">
        <v>33</v>
      </c>
      <c r="X86" s="3" t="s">
        <v>470</v>
      </c>
    </row>
    <row r="87" spans="1:24" ht="27.95" x14ac:dyDescent="0.3">
      <c r="A87" s="3">
        <v>81</v>
      </c>
      <c r="B87" s="3" t="str">
        <f>"201200144781"</f>
        <v>201200144781</v>
      </c>
      <c r="C87" s="3">
        <v>20048</v>
      </c>
      <c r="D87" s="3" t="s">
        <v>471</v>
      </c>
      <c r="E87" s="3">
        <v>10018665480</v>
      </c>
      <c r="F87" s="3" t="s">
        <v>472</v>
      </c>
      <c r="G87" s="3" t="s">
        <v>473</v>
      </c>
      <c r="H87" s="3" t="s">
        <v>45</v>
      </c>
      <c r="I87" s="3" t="s">
        <v>214</v>
      </c>
      <c r="J87" s="3" t="s">
        <v>474</v>
      </c>
      <c r="K87" s="3" t="s">
        <v>31</v>
      </c>
      <c r="L87" s="3" t="s">
        <v>80</v>
      </c>
      <c r="M87" s="3"/>
      <c r="N87" s="3"/>
      <c r="O87" s="3"/>
      <c r="P87" s="3"/>
      <c r="Q87" s="3"/>
      <c r="R87" s="3"/>
      <c r="S87" s="3"/>
      <c r="T87" s="3"/>
      <c r="U87" s="3">
        <v>330</v>
      </c>
      <c r="V87" s="4">
        <v>41116</v>
      </c>
      <c r="W87" s="3" t="s">
        <v>33</v>
      </c>
      <c r="X87" s="3" t="s">
        <v>472</v>
      </c>
    </row>
    <row r="88" spans="1:24" ht="27.95" x14ac:dyDescent="0.3">
      <c r="A88" s="3">
        <v>82</v>
      </c>
      <c r="B88" s="3" t="str">
        <f>"1359704"</f>
        <v>1359704</v>
      </c>
      <c r="C88" s="3">
        <v>21729</v>
      </c>
      <c r="D88" s="3" t="s">
        <v>475</v>
      </c>
      <c r="E88" s="3">
        <v>17195269254</v>
      </c>
      <c r="F88" s="3" t="s">
        <v>476</v>
      </c>
      <c r="G88" s="3" t="s">
        <v>477</v>
      </c>
      <c r="H88" s="3" t="s">
        <v>45</v>
      </c>
      <c r="I88" s="3" t="s">
        <v>328</v>
      </c>
      <c r="J88" s="3" t="s">
        <v>329</v>
      </c>
      <c r="K88" s="3" t="s">
        <v>31</v>
      </c>
      <c r="L88" s="3" t="s">
        <v>48</v>
      </c>
      <c r="M88" s="3" t="s">
        <v>50</v>
      </c>
      <c r="N88" s="3" t="s">
        <v>478</v>
      </c>
      <c r="O88" s="3"/>
      <c r="P88" s="3"/>
      <c r="Q88" s="3"/>
      <c r="R88" s="3"/>
      <c r="S88" s="3"/>
      <c r="T88" s="3"/>
      <c r="U88" s="3">
        <v>342</v>
      </c>
      <c r="V88" s="4">
        <v>37337</v>
      </c>
      <c r="W88" s="3" t="s">
        <v>33</v>
      </c>
      <c r="X88" s="3" t="s">
        <v>479</v>
      </c>
    </row>
    <row r="89" spans="1:24" ht="27.95" x14ac:dyDescent="0.3">
      <c r="A89" s="3">
        <v>83</v>
      </c>
      <c r="B89" s="3" t="str">
        <f>"201900014642"</f>
        <v>201900014642</v>
      </c>
      <c r="C89" s="3">
        <v>33300</v>
      </c>
      <c r="D89" s="3" t="s">
        <v>480</v>
      </c>
      <c r="E89" s="3">
        <v>10042002360</v>
      </c>
      <c r="F89" s="3" t="s">
        <v>481</v>
      </c>
      <c r="G89" s="3" t="s">
        <v>482</v>
      </c>
      <c r="H89" s="3" t="s">
        <v>464</v>
      </c>
      <c r="I89" s="3" t="s">
        <v>483</v>
      </c>
      <c r="J89" s="3" t="s">
        <v>484</v>
      </c>
      <c r="K89" s="3" t="s">
        <v>31</v>
      </c>
      <c r="L89" s="3" t="s">
        <v>40</v>
      </c>
      <c r="M89" s="3" t="s">
        <v>485</v>
      </c>
      <c r="N89" s="3"/>
      <c r="O89" s="3"/>
      <c r="P89" s="3"/>
      <c r="Q89" s="3"/>
      <c r="R89" s="3"/>
      <c r="S89" s="3"/>
      <c r="T89" s="3"/>
      <c r="U89" s="3">
        <v>330</v>
      </c>
      <c r="V89" s="4">
        <v>43507</v>
      </c>
      <c r="W89" s="3" t="s">
        <v>33</v>
      </c>
      <c r="X89" s="3" t="s">
        <v>481</v>
      </c>
    </row>
    <row r="90" spans="1:24" ht="27.95" x14ac:dyDescent="0.3">
      <c r="A90" s="3">
        <v>84</v>
      </c>
      <c r="B90" s="3" t="str">
        <f>"201400008664"</f>
        <v>201400008664</v>
      </c>
      <c r="C90" s="3">
        <v>97919</v>
      </c>
      <c r="D90" s="3" t="s">
        <v>486</v>
      </c>
      <c r="E90" s="3">
        <v>20448852637</v>
      </c>
      <c r="F90" s="3" t="s">
        <v>487</v>
      </c>
      <c r="G90" s="3" t="s">
        <v>488</v>
      </c>
      <c r="H90" s="3" t="s">
        <v>45</v>
      </c>
      <c r="I90" s="3" t="s">
        <v>179</v>
      </c>
      <c r="J90" s="3" t="s">
        <v>489</v>
      </c>
      <c r="K90" s="3" t="s">
        <v>31</v>
      </c>
      <c r="L90" s="3" t="s">
        <v>182</v>
      </c>
      <c r="M90" s="3" t="s">
        <v>181</v>
      </c>
      <c r="N90" s="3"/>
      <c r="O90" s="3"/>
      <c r="P90" s="3"/>
      <c r="Q90" s="3"/>
      <c r="R90" s="3"/>
      <c r="S90" s="3"/>
      <c r="T90" s="3"/>
      <c r="U90" s="3">
        <v>330</v>
      </c>
      <c r="V90" s="4">
        <v>41676</v>
      </c>
      <c r="W90" s="3" t="s">
        <v>33</v>
      </c>
      <c r="X90" s="3" t="s">
        <v>490</v>
      </c>
    </row>
    <row r="91" spans="1:24" ht="27.95" x14ac:dyDescent="0.3">
      <c r="A91" s="3">
        <v>85</v>
      </c>
      <c r="B91" s="3" t="str">
        <f>"201300152251"</f>
        <v>201300152251</v>
      </c>
      <c r="C91" s="3">
        <v>21023</v>
      </c>
      <c r="D91" s="3" t="s">
        <v>491</v>
      </c>
      <c r="E91" s="3">
        <v>10012843769</v>
      </c>
      <c r="F91" s="3" t="s">
        <v>492</v>
      </c>
      <c r="G91" s="3" t="s">
        <v>493</v>
      </c>
      <c r="H91" s="3" t="s">
        <v>45</v>
      </c>
      <c r="I91" s="3" t="s">
        <v>45</v>
      </c>
      <c r="J91" s="3" t="s">
        <v>494</v>
      </c>
      <c r="K91" s="3" t="s">
        <v>31</v>
      </c>
      <c r="L91" s="3" t="s">
        <v>80</v>
      </c>
      <c r="M91" s="3"/>
      <c r="N91" s="3"/>
      <c r="O91" s="3"/>
      <c r="P91" s="3"/>
      <c r="Q91" s="3"/>
      <c r="R91" s="3"/>
      <c r="S91" s="3"/>
      <c r="T91" s="3"/>
      <c r="U91" s="3">
        <v>330</v>
      </c>
      <c r="V91" s="4">
        <v>41547</v>
      </c>
      <c r="W91" s="3" t="s">
        <v>33</v>
      </c>
      <c r="X91" s="3" t="s">
        <v>492</v>
      </c>
    </row>
    <row r="92" spans="1:24" ht="27.95" x14ac:dyDescent="0.3">
      <c r="A92" s="3">
        <v>86</v>
      </c>
      <c r="B92" s="3" t="str">
        <f>"201100172364"</f>
        <v>201100172364</v>
      </c>
      <c r="C92" s="3">
        <v>95002</v>
      </c>
      <c r="D92" s="3" t="s">
        <v>495</v>
      </c>
      <c r="E92" s="3">
        <v>10190368721</v>
      </c>
      <c r="F92" s="3" t="s">
        <v>496</v>
      </c>
      <c r="G92" s="3" t="s">
        <v>497</v>
      </c>
      <c r="H92" s="3" t="s">
        <v>498</v>
      </c>
      <c r="I92" s="3" t="s">
        <v>499</v>
      </c>
      <c r="J92" s="3" t="s">
        <v>499</v>
      </c>
      <c r="K92" s="3" t="s">
        <v>31</v>
      </c>
      <c r="L92" s="3" t="s">
        <v>39</v>
      </c>
      <c r="M92" s="3" t="s">
        <v>500</v>
      </c>
      <c r="N92" s="3"/>
      <c r="O92" s="3"/>
      <c r="P92" s="3"/>
      <c r="Q92" s="3"/>
      <c r="R92" s="3"/>
      <c r="S92" s="3"/>
      <c r="T92" s="3"/>
      <c r="U92" s="3">
        <v>342</v>
      </c>
      <c r="V92" s="4">
        <v>40908</v>
      </c>
      <c r="W92" s="3" t="s">
        <v>33</v>
      </c>
      <c r="X92" s="3" t="s">
        <v>496</v>
      </c>
    </row>
    <row r="93" spans="1:24" ht="41.95" x14ac:dyDescent="0.3">
      <c r="A93" s="3">
        <v>87</v>
      </c>
      <c r="B93" s="3" t="str">
        <f>"201600139351"</f>
        <v>201600139351</v>
      </c>
      <c r="C93" s="3">
        <v>106041</v>
      </c>
      <c r="D93" s="3" t="s">
        <v>501</v>
      </c>
      <c r="E93" s="3">
        <v>10197048374</v>
      </c>
      <c r="F93" s="3" t="s">
        <v>502</v>
      </c>
      <c r="G93" s="3" t="s">
        <v>503</v>
      </c>
      <c r="H93" s="3" t="s">
        <v>233</v>
      </c>
      <c r="I93" s="3" t="s">
        <v>504</v>
      </c>
      <c r="J93" s="3" t="s">
        <v>505</v>
      </c>
      <c r="K93" s="3" t="s">
        <v>31</v>
      </c>
      <c r="L93" s="3" t="s">
        <v>506</v>
      </c>
      <c r="M93" s="3"/>
      <c r="N93" s="3"/>
      <c r="O93" s="3"/>
      <c r="P93" s="3"/>
      <c r="Q93" s="3"/>
      <c r="R93" s="3"/>
      <c r="S93" s="3"/>
      <c r="T93" s="3"/>
      <c r="U93" s="3">
        <v>330</v>
      </c>
      <c r="V93" s="4">
        <v>42653</v>
      </c>
      <c r="W93" s="3" t="s">
        <v>33</v>
      </c>
      <c r="X93" s="3" t="s">
        <v>502</v>
      </c>
    </row>
    <row r="94" spans="1:24" ht="27.95" x14ac:dyDescent="0.3">
      <c r="A94" s="3">
        <v>88</v>
      </c>
      <c r="B94" s="3" t="str">
        <f>"201800199542"</f>
        <v>201800199542</v>
      </c>
      <c r="C94" s="3">
        <v>140089</v>
      </c>
      <c r="D94" s="3" t="s">
        <v>507</v>
      </c>
      <c r="E94" s="3">
        <v>10252035457</v>
      </c>
      <c r="F94" s="3" t="s">
        <v>508</v>
      </c>
      <c r="G94" s="3" t="s">
        <v>509</v>
      </c>
      <c r="H94" s="3" t="s">
        <v>28</v>
      </c>
      <c r="I94" s="3" t="s">
        <v>203</v>
      </c>
      <c r="J94" s="3" t="s">
        <v>510</v>
      </c>
      <c r="K94" s="3" t="s">
        <v>31</v>
      </c>
      <c r="L94" s="3" t="s">
        <v>347</v>
      </c>
      <c r="M94" s="3"/>
      <c r="N94" s="3"/>
      <c r="O94" s="3"/>
      <c r="P94" s="3"/>
      <c r="Q94" s="3"/>
      <c r="R94" s="3"/>
      <c r="S94" s="3"/>
      <c r="T94" s="3"/>
      <c r="U94" s="3">
        <v>715</v>
      </c>
      <c r="V94" s="4">
        <v>43437</v>
      </c>
      <c r="W94" s="3" t="s">
        <v>33</v>
      </c>
      <c r="X94" s="3" t="s">
        <v>508</v>
      </c>
    </row>
    <row r="95" spans="1:24" ht="27.95" x14ac:dyDescent="0.3">
      <c r="A95" s="3">
        <v>89</v>
      </c>
      <c r="B95" s="3" t="str">
        <f>"201600054431"</f>
        <v>201600054431</v>
      </c>
      <c r="C95" s="3">
        <v>120904</v>
      </c>
      <c r="D95" s="3" t="s">
        <v>511</v>
      </c>
      <c r="E95" s="3">
        <v>10333441123</v>
      </c>
      <c r="F95" s="3" t="s">
        <v>512</v>
      </c>
      <c r="G95" s="3" t="s">
        <v>513</v>
      </c>
      <c r="H95" s="3" t="s">
        <v>514</v>
      </c>
      <c r="I95" s="3" t="s">
        <v>515</v>
      </c>
      <c r="J95" s="3" t="s">
        <v>515</v>
      </c>
      <c r="K95" s="3" t="s">
        <v>31</v>
      </c>
      <c r="L95" s="3" t="s">
        <v>41</v>
      </c>
      <c r="M95" s="3" t="s">
        <v>65</v>
      </c>
      <c r="N95" s="3"/>
      <c r="O95" s="3"/>
      <c r="P95" s="3"/>
      <c r="Q95" s="3"/>
      <c r="R95" s="3"/>
      <c r="S95" s="3"/>
      <c r="T95" s="3"/>
      <c r="U95" s="3">
        <v>330</v>
      </c>
      <c r="V95" s="4">
        <v>42500</v>
      </c>
      <c r="W95" s="3" t="s">
        <v>33</v>
      </c>
      <c r="X95" s="3" t="s">
        <v>512</v>
      </c>
    </row>
    <row r="96" spans="1:24" ht="27.95" x14ac:dyDescent="0.3">
      <c r="A96" s="3">
        <v>90</v>
      </c>
      <c r="B96" s="3" t="str">
        <f>"202000014819"</f>
        <v>202000014819</v>
      </c>
      <c r="C96" s="3">
        <v>132747</v>
      </c>
      <c r="D96" s="3" t="s">
        <v>516</v>
      </c>
      <c r="E96" s="3">
        <v>10016993901</v>
      </c>
      <c r="F96" s="3" t="s">
        <v>517</v>
      </c>
      <c r="G96" s="3" t="s">
        <v>518</v>
      </c>
      <c r="H96" s="3" t="s">
        <v>45</v>
      </c>
      <c r="I96" s="3" t="s">
        <v>119</v>
      </c>
      <c r="J96" s="3" t="s">
        <v>519</v>
      </c>
      <c r="K96" s="3" t="s">
        <v>31</v>
      </c>
      <c r="L96" s="3" t="s">
        <v>520</v>
      </c>
      <c r="M96" s="3"/>
      <c r="N96" s="3"/>
      <c r="O96" s="3"/>
      <c r="P96" s="3"/>
      <c r="Q96" s="3"/>
      <c r="R96" s="3"/>
      <c r="S96" s="3"/>
      <c r="T96" s="3"/>
      <c r="U96" s="3">
        <v>330</v>
      </c>
      <c r="V96" s="4">
        <v>43857</v>
      </c>
      <c r="W96" s="3" t="s">
        <v>33</v>
      </c>
      <c r="X96" s="3" t="s">
        <v>517</v>
      </c>
    </row>
    <row r="97" spans="1:24" ht="27.95" x14ac:dyDescent="0.3">
      <c r="A97" s="3">
        <v>91</v>
      </c>
      <c r="B97" s="3" t="str">
        <f>"201800043206"</f>
        <v>201800043206</v>
      </c>
      <c r="C97" s="3">
        <v>132462</v>
      </c>
      <c r="D97" s="3" t="s">
        <v>521</v>
      </c>
      <c r="E97" s="3">
        <v>10012960421</v>
      </c>
      <c r="F97" s="3" t="s">
        <v>522</v>
      </c>
      <c r="G97" s="3" t="s">
        <v>523</v>
      </c>
      <c r="H97" s="3" t="s">
        <v>45</v>
      </c>
      <c r="I97" s="3" t="s">
        <v>45</v>
      </c>
      <c r="J97" s="3" t="s">
        <v>524</v>
      </c>
      <c r="K97" s="3" t="s">
        <v>31</v>
      </c>
      <c r="L97" s="3"/>
      <c r="M97" s="3"/>
      <c r="N97" s="3"/>
      <c r="O97" s="3" t="s">
        <v>340</v>
      </c>
      <c r="P97" s="3"/>
      <c r="Q97" s="3"/>
      <c r="R97" s="3"/>
      <c r="S97" s="3"/>
      <c r="T97" s="3"/>
      <c r="U97" s="3">
        <v>715</v>
      </c>
      <c r="V97" s="4">
        <v>43174</v>
      </c>
      <c r="W97" s="3" t="s">
        <v>33</v>
      </c>
      <c r="X97" s="3" t="s">
        <v>522</v>
      </c>
    </row>
    <row r="98" spans="1:24" ht="27.95" x14ac:dyDescent="0.3">
      <c r="A98" s="3">
        <v>92</v>
      </c>
      <c r="B98" s="3" t="str">
        <f>"201600179075"</f>
        <v>201600179075</v>
      </c>
      <c r="C98" s="3">
        <v>114104</v>
      </c>
      <c r="D98" s="3" t="s">
        <v>525</v>
      </c>
      <c r="E98" s="3">
        <v>10706155908</v>
      </c>
      <c r="F98" s="3" t="s">
        <v>526</v>
      </c>
      <c r="G98" s="3" t="s">
        <v>527</v>
      </c>
      <c r="H98" s="3" t="s">
        <v>61</v>
      </c>
      <c r="I98" s="3" t="s">
        <v>61</v>
      </c>
      <c r="J98" s="3" t="s">
        <v>528</v>
      </c>
      <c r="K98" s="3" t="s">
        <v>31</v>
      </c>
      <c r="L98" s="3"/>
      <c r="M98" s="3"/>
      <c r="N98" s="3" t="s">
        <v>41</v>
      </c>
      <c r="O98" s="3" t="s">
        <v>65</v>
      </c>
      <c r="P98" s="3"/>
      <c r="Q98" s="3"/>
      <c r="R98" s="3"/>
      <c r="S98" s="3"/>
      <c r="T98" s="3"/>
      <c r="U98" s="3">
        <v>330</v>
      </c>
      <c r="V98" s="4">
        <v>42709</v>
      </c>
      <c r="W98" s="3" t="s">
        <v>33</v>
      </c>
      <c r="X98" s="3" t="s">
        <v>526</v>
      </c>
    </row>
    <row r="99" spans="1:24" ht="27.95" x14ac:dyDescent="0.3">
      <c r="A99" s="3">
        <v>93</v>
      </c>
      <c r="B99" s="3" t="str">
        <f>"201800102045"</f>
        <v>201800102045</v>
      </c>
      <c r="C99" s="3">
        <v>137050</v>
      </c>
      <c r="D99" s="3" t="s">
        <v>529</v>
      </c>
      <c r="E99" s="3">
        <v>10322854787</v>
      </c>
      <c r="F99" s="3" t="s">
        <v>530</v>
      </c>
      <c r="G99" s="3" t="s">
        <v>531</v>
      </c>
      <c r="H99" s="3" t="s">
        <v>514</v>
      </c>
      <c r="I99" s="3" t="s">
        <v>532</v>
      </c>
      <c r="J99" s="3" t="s">
        <v>533</v>
      </c>
      <c r="K99" s="3" t="s">
        <v>31</v>
      </c>
      <c r="L99" s="3" t="s">
        <v>57</v>
      </c>
      <c r="M99" s="3"/>
      <c r="N99" s="3"/>
      <c r="O99" s="3"/>
      <c r="P99" s="3"/>
      <c r="Q99" s="3"/>
      <c r="R99" s="3"/>
      <c r="S99" s="3"/>
      <c r="T99" s="3"/>
      <c r="U99" s="3">
        <v>715</v>
      </c>
      <c r="V99" s="4">
        <v>43270</v>
      </c>
      <c r="W99" s="3" t="s">
        <v>33</v>
      </c>
      <c r="X99" s="3" t="s">
        <v>530</v>
      </c>
    </row>
    <row r="100" spans="1:24" ht="27.95" x14ac:dyDescent="0.3">
      <c r="A100" s="3">
        <v>94</v>
      </c>
      <c r="B100" s="3" t="str">
        <f>"201800198186"</f>
        <v>201800198186</v>
      </c>
      <c r="C100" s="3">
        <v>140038</v>
      </c>
      <c r="D100" s="3" t="s">
        <v>534</v>
      </c>
      <c r="E100" s="3">
        <v>10251906829</v>
      </c>
      <c r="F100" s="3" t="s">
        <v>535</v>
      </c>
      <c r="G100" s="3" t="s">
        <v>536</v>
      </c>
      <c r="H100" s="3" t="s">
        <v>28</v>
      </c>
      <c r="I100" s="3" t="s">
        <v>203</v>
      </c>
      <c r="J100" s="3" t="s">
        <v>537</v>
      </c>
      <c r="K100" s="3" t="s">
        <v>31</v>
      </c>
      <c r="L100" s="3"/>
      <c r="M100" s="3" t="s">
        <v>347</v>
      </c>
      <c r="N100" s="3"/>
      <c r="O100" s="3"/>
      <c r="P100" s="3"/>
      <c r="Q100" s="3"/>
      <c r="R100" s="3"/>
      <c r="S100" s="3"/>
      <c r="T100" s="3"/>
      <c r="U100" s="3">
        <v>715</v>
      </c>
      <c r="V100" s="4">
        <v>43433</v>
      </c>
      <c r="W100" s="3" t="s">
        <v>33</v>
      </c>
      <c r="X100" s="3" t="s">
        <v>535</v>
      </c>
    </row>
    <row r="101" spans="1:24" ht="27.95" x14ac:dyDescent="0.3">
      <c r="A101" s="3">
        <v>95</v>
      </c>
      <c r="B101" s="3" t="str">
        <f>"201900130727"</f>
        <v>201900130727</v>
      </c>
      <c r="C101" s="3">
        <v>121766</v>
      </c>
      <c r="D101" s="3" t="s">
        <v>538</v>
      </c>
      <c r="E101" s="3">
        <v>10198811811</v>
      </c>
      <c r="F101" s="3" t="s">
        <v>539</v>
      </c>
      <c r="G101" s="3" t="s">
        <v>540</v>
      </c>
      <c r="H101" s="3" t="s">
        <v>92</v>
      </c>
      <c r="I101" s="3" t="s">
        <v>246</v>
      </c>
      <c r="J101" s="3" t="s">
        <v>247</v>
      </c>
      <c r="K101" s="3" t="s">
        <v>31</v>
      </c>
      <c r="L101" s="3" t="s">
        <v>115</v>
      </c>
      <c r="M101" s="3"/>
      <c r="N101" s="3"/>
      <c r="O101" s="3"/>
      <c r="P101" s="3"/>
      <c r="Q101" s="3"/>
      <c r="R101" s="3"/>
      <c r="S101" s="3"/>
      <c r="T101" s="3"/>
      <c r="U101" s="3">
        <v>715</v>
      </c>
      <c r="V101" s="4">
        <v>43697</v>
      </c>
      <c r="W101" s="3" t="s">
        <v>33</v>
      </c>
      <c r="X101" s="3" t="s">
        <v>541</v>
      </c>
    </row>
    <row r="102" spans="1:24" ht="27.95" x14ac:dyDescent="0.3">
      <c r="A102" s="3">
        <v>96</v>
      </c>
      <c r="B102" s="3" t="str">
        <f>"201300156097"</f>
        <v>201300156097</v>
      </c>
      <c r="C102" s="3">
        <v>44423</v>
      </c>
      <c r="D102" s="3" t="s">
        <v>542</v>
      </c>
      <c r="E102" s="3">
        <v>10209922881</v>
      </c>
      <c r="F102" s="3" t="s">
        <v>543</v>
      </c>
      <c r="G102" s="3" t="s">
        <v>544</v>
      </c>
      <c r="H102" s="3" t="s">
        <v>92</v>
      </c>
      <c r="I102" s="3" t="s">
        <v>246</v>
      </c>
      <c r="J102" s="3" t="s">
        <v>334</v>
      </c>
      <c r="K102" s="3" t="s">
        <v>31</v>
      </c>
      <c r="L102" s="3" t="s">
        <v>264</v>
      </c>
      <c r="M102" s="3" t="s">
        <v>50</v>
      </c>
      <c r="N102" s="3" t="s">
        <v>41</v>
      </c>
      <c r="O102" s="3"/>
      <c r="P102" s="3"/>
      <c r="Q102" s="3"/>
      <c r="R102" s="3"/>
      <c r="S102" s="3"/>
      <c r="T102" s="3"/>
      <c r="U102" s="3">
        <v>330</v>
      </c>
      <c r="V102" s="4">
        <v>41597</v>
      </c>
      <c r="W102" s="3" t="s">
        <v>33</v>
      </c>
      <c r="X102" s="3" t="s">
        <v>543</v>
      </c>
    </row>
    <row r="103" spans="1:24" ht="27.95" x14ac:dyDescent="0.3">
      <c r="A103" s="3">
        <v>97</v>
      </c>
      <c r="B103" s="3" t="str">
        <f>"1224610"</f>
        <v>1224610</v>
      </c>
      <c r="C103" s="3">
        <v>16739</v>
      </c>
      <c r="D103" s="3">
        <v>1174551</v>
      </c>
      <c r="E103" s="3">
        <v>10276698261</v>
      </c>
      <c r="F103" s="3" t="s">
        <v>545</v>
      </c>
      <c r="G103" s="3" t="s">
        <v>546</v>
      </c>
      <c r="H103" s="3" t="s">
        <v>194</v>
      </c>
      <c r="I103" s="3" t="s">
        <v>195</v>
      </c>
      <c r="J103" s="3" t="s">
        <v>547</v>
      </c>
      <c r="K103" s="3" t="s">
        <v>31</v>
      </c>
      <c r="L103" s="3" t="s">
        <v>548</v>
      </c>
      <c r="M103" s="3" t="s">
        <v>549</v>
      </c>
      <c r="N103" s="3"/>
      <c r="O103" s="3"/>
      <c r="P103" s="3"/>
      <c r="Q103" s="3"/>
      <c r="R103" s="3"/>
      <c r="S103" s="3"/>
      <c r="T103" s="3"/>
      <c r="U103" s="3">
        <v>570</v>
      </c>
      <c r="V103" s="4">
        <v>36395</v>
      </c>
      <c r="W103" s="3" t="s">
        <v>33</v>
      </c>
      <c r="X103" s="3" t="s">
        <v>550</v>
      </c>
    </row>
    <row r="104" spans="1:24" ht="27.95" x14ac:dyDescent="0.3">
      <c r="A104" s="3">
        <v>98</v>
      </c>
      <c r="B104" s="3" t="str">
        <f>"201900141020"</f>
        <v>201900141020</v>
      </c>
      <c r="C104" s="3">
        <v>146273</v>
      </c>
      <c r="D104" s="3" t="s">
        <v>551</v>
      </c>
      <c r="E104" s="3">
        <v>10237053147</v>
      </c>
      <c r="F104" s="3" t="s">
        <v>552</v>
      </c>
      <c r="G104" s="3" t="s">
        <v>553</v>
      </c>
      <c r="H104" s="3" t="s">
        <v>61</v>
      </c>
      <c r="I104" s="3" t="s">
        <v>554</v>
      </c>
      <c r="J104" s="3" t="s">
        <v>555</v>
      </c>
      <c r="K104" s="3" t="s">
        <v>31</v>
      </c>
      <c r="L104" s="3" t="s">
        <v>57</v>
      </c>
      <c r="M104" s="3"/>
      <c r="N104" s="3"/>
      <c r="O104" s="3"/>
      <c r="P104" s="3"/>
      <c r="Q104" s="3"/>
      <c r="R104" s="3"/>
      <c r="S104" s="3"/>
      <c r="T104" s="3"/>
      <c r="U104" s="3">
        <v>715</v>
      </c>
      <c r="V104" s="4">
        <v>43718</v>
      </c>
      <c r="W104" s="3" t="s">
        <v>33</v>
      </c>
      <c r="X104" s="3" t="s">
        <v>552</v>
      </c>
    </row>
    <row r="105" spans="1:24" ht="27.95" x14ac:dyDescent="0.3">
      <c r="A105" s="3">
        <v>99</v>
      </c>
      <c r="B105" s="3" t="str">
        <f>"1783789"</f>
        <v>1783789</v>
      </c>
      <c r="C105" s="3">
        <v>38715</v>
      </c>
      <c r="D105" s="3" t="s">
        <v>556</v>
      </c>
      <c r="E105" s="3">
        <v>20531378904</v>
      </c>
      <c r="F105" s="3" t="s">
        <v>557</v>
      </c>
      <c r="G105" s="3" t="s">
        <v>558</v>
      </c>
      <c r="H105" s="3" t="s">
        <v>233</v>
      </c>
      <c r="I105" s="3" t="s">
        <v>559</v>
      </c>
      <c r="J105" s="3" t="s">
        <v>560</v>
      </c>
      <c r="K105" s="3" t="s">
        <v>31</v>
      </c>
      <c r="L105" s="3" t="s">
        <v>197</v>
      </c>
      <c r="M105" s="3" t="s">
        <v>50</v>
      </c>
      <c r="N105" s="3" t="s">
        <v>107</v>
      </c>
      <c r="O105" s="3"/>
      <c r="P105" s="3"/>
      <c r="Q105" s="3"/>
      <c r="R105" s="3"/>
      <c r="S105" s="3"/>
      <c r="T105" s="3"/>
      <c r="U105" s="3">
        <v>330</v>
      </c>
      <c r="V105" s="4">
        <v>39582</v>
      </c>
      <c r="W105" s="3" t="s">
        <v>33</v>
      </c>
      <c r="X105" s="3" t="s">
        <v>561</v>
      </c>
    </row>
    <row r="106" spans="1:24" ht="27.95" x14ac:dyDescent="0.3">
      <c r="A106" s="3">
        <v>100</v>
      </c>
      <c r="B106" s="3" t="str">
        <f>"201500055388"</f>
        <v>201500055388</v>
      </c>
      <c r="C106" s="3">
        <v>43741</v>
      </c>
      <c r="D106" s="3" t="s">
        <v>562</v>
      </c>
      <c r="E106" s="3">
        <v>10239444836</v>
      </c>
      <c r="F106" s="3" t="s">
        <v>563</v>
      </c>
      <c r="G106" s="3" t="s">
        <v>564</v>
      </c>
      <c r="H106" s="3" t="s">
        <v>28</v>
      </c>
      <c r="I106" s="3" t="s">
        <v>565</v>
      </c>
      <c r="J106" s="3" t="s">
        <v>566</v>
      </c>
      <c r="K106" s="3" t="s">
        <v>31</v>
      </c>
      <c r="L106" s="3"/>
      <c r="M106" s="3"/>
      <c r="N106" s="3"/>
      <c r="O106" s="3"/>
      <c r="P106" s="3" t="s">
        <v>567</v>
      </c>
      <c r="Q106" s="3" t="s">
        <v>181</v>
      </c>
      <c r="R106" s="3"/>
      <c r="S106" s="3"/>
      <c r="T106" s="3"/>
      <c r="U106" s="3">
        <v>330</v>
      </c>
      <c r="V106" s="4">
        <v>42150</v>
      </c>
      <c r="W106" s="3" t="s">
        <v>33</v>
      </c>
      <c r="X106" s="3" t="s">
        <v>563</v>
      </c>
    </row>
    <row r="107" spans="1:24" ht="27.95" x14ac:dyDescent="0.3">
      <c r="A107" s="3">
        <v>101</v>
      </c>
      <c r="B107" s="3" t="str">
        <f>"201800068432"</f>
        <v>201800068432</v>
      </c>
      <c r="C107" s="3">
        <v>106413</v>
      </c>
      <c r="D107" s="3" t="s">
        <v>568</v>
      </c>
      <c r="E107" s="3">
        <v>20532950610</v>
      </c>
      <c r="F107" s="3" t="s">
        <v>569</v>
      </c>
      <c r="G107" s="3" t="s">
        <v>570</v>
      </c>
      <c r="H107" s="3" t="s">
        <v>571</v>
      </c>
      <c r="I107" s="3" t="s">
        <v>572</v>
      </c>
      <c r="J107" s="3" t="s">
        <v>573</v>
      </c>
      <c r="K107" s="3" t="s">
        <v>31</v>
      </c>
      <c r="L107" s="3"/>
      <c r="M107" s="3"/>
      <c r="N107" s="3"/>
      <c r="O107" s="3" t="s">
        <v>39</v>
      </c>
      <c r="P107" s="3" t="s">
        <v>574</v>
      </c>
      <c r="Q107" s="3" t="s">
        <v>40</v>
      </c>
      <c r="R107" s="3" t="s">
        <v>236</v>
      </c>
      <c r="S107" s="3"/>
      <c r="T107" s="3"/>
      <c r="U107" s="3">
        <v>715</v>
      </c>
      <c r="V107" s="4">
        <v>43217</v>
      </c>
      <c r="W107" s="3" t="s">
        <v>33</v>
      </c>
      <c r="X107" s="3" t="s">
        <v>575</v>
      </c>
    </row>
    <row r="108" spans="1:24" ht="27.95" x14ac:dyDescent="0.3">
      <c r="A108" s="3">
        <v>102</v>
      </c>
      <c r="B108" s="3" t="str">
        <f>"201800182537"</f>
        <v>201800182537</v>
      </c>
      <c r="C108" s="3">
        <v>139450</v>
      </c>
      <c r="D108" s="3" t="s">
        <v>576</v>
      </c>
      <c r="E108" s="3">
        <v>10238925474</v>
      </c>
      <c r="F108" s="3" t="s">
        <v>577</v>
      </c>
      <c r="G108" s="3" t="s">
        <v>578</v>
      </c>
      <c r="H108" s="3" t="s">
        <v>28</v>
      </c>
      <c r="I108" s="3" t="s">
        <v>579</v>
      </c>
      <c r="J108" s="3" t="s">
        <v>580</v>
      </c>
      <c r="K108" s="3" t="s">
        <v>31</v>
      </c>
      <c r="L108" s="3" t="s">
        <v>32</v>
      </c>
      <c r="M108" s="3"/>
      <c r="N108" s="3"/>
      <c r="O108" s="3"/>
      <c r="P108" s="3"/>
      <c r="Q108" s="3"/>
      <c r="R108" s="3"/>
      <c r="S108" s="3"/>
      <c r="T108" s="3"/>
      <c r="U108" s="3">
        <v>715</v>
      </c>
      <c r="V108" s="4">
        <v>43406</v>
      </c>
      <c r="W108" s="3" t="s">
        <v>33</v>
      </c>
      <c r="X108" s="3" t="s">
        <v>577</v>
      </c>
    </row>
    <row r="109" spans="1:24" ht="27.95" x14ac:dyDescent="0.3">
      <c r="A109" s="3">
        <v>103</v>
      </c>
      <c r="B109" s="3" t="str">
        <f>"201900086719"</f>
        <v>201900086719</v>
      </c>
      <c r="C109" s="3">
        <v>144363</v>
      </c>
      <c r="D109" s="3" t="s">
        <v>581</v>
      </c>
      <c r="E109" s="3">
        <v>10427488751</v>
      </c>
      <c r="F109" s="3" t="s">
        <v>582</v>
      </c>
      <c r="G109" s="3" t="s">
        <v>583</v>
      </c>
      <c r="H109" s="3" t="s">
        <v>28</v>
      </c>
      <c r="I109" s="3" t="s">
        <v>220</v>
      </c>
      <c r="J109" s="3" t="s">
        <v>584</v>
      </c>
      <c r="K109" s="3" t="s">
        <v>31</v>
      </c>
      <c r="L109" s="3" t="s">
        <v>32</v>
      </c>
      <c r="M109" s="3"/>
      <c r="N109" s="3"/>
      <c r="O109" s="3"/>
      <c r="P109" s="3"/>
      <c r="Q109" s="3"/>
      <c r="R109" s="3"/>
      <c r="S109" s="3"/>
      <c r="T109" s="3"/>
      <c r="U109" s="3">
        <v>715</v>
      </c>
      <c r="V109" s="4">
        <v>43620</v>
      </c>
      <c r="W109" s="3" t="s">
        <v>33</v>
      </c>
      <c r="X109" s="3" t="s">
        <v>582</v>
      </c>
    </row>
    <row r="110" spans="1:24" ht="27.95" x14ac:dyDescent="0.3">
      <c r="A110" s="3">
        <v>104</v>
      </c>
      <c r="B110" s="3" t="str">
        <f>"201500094064"</f>
        <v>201500094064</v>
      </c>
      <c r="C110" s="3">
        <v>94123</v>
      </c>
      <c r="D110" s="3" t="s">
        <v>585</v>
      </c>
      <c r="E110" s="3">
        <v>20600279565</v>
      </c>
      <c r="F110" s="3" t="s">
        <v>586</v>
      </c>
      <c r="G110" s="3" t="s">
        <v>587</v>
      </c>
      <c r="H110" s="3" t="s">
        <v>45</v>
      </c>
      <c r="I110" s="3" t="s">
        <v>119</v>
      </c>
      <c r="J110" s="3" t="s">
        <v>588</v>
      </c>
      <c r="K110" s="3" t="s">
        <v>31</v>
      </c>
      <c r="L110" s="3" t="s">
        <v>182</v>
      </c>
      <c r="M110" s="3" t="s">
        <v>181</v>
      </c>
      <c r="N110" s="3"/>
      <c r="O110" s="3"/>
      <c r="P110" s="3"/>
      <c r="Q110" s="3"/>
      <c r="R110" s="3"/>
      <c r="S110" s="3"/>
      <c r="T110" s="3"/>
      <c r="U110" s="3">
        <v>330</v>
      </c>
      <c r="V110" s="4">
        <v>42219</v>
      </c>
      <c r="W110" s="3" t="s">
        <v>33</v>
      </c>
      <c r="X110" s="3" t="s">
        <v>589</v>
      </c>
    </row>
    <row r="111" spans="1:24" ht="41.95" x14ac:dyDescent="0.3">
      <c r="A111" s="3">
        <v>105</v>
      </c>
      <c r="B111" s="3" t="str">
        <f>"201900203334"</f>
        <v>201900203334</v>
      </c>
      <c r="C111" s="3">
        <v>148205</v>
      </c>
      <c r="D111" s="3" t="s">
        <v>590</v>
      </c>
      <c r="E111" s="3">
        <v>10469685832</v>
      </c>
      <c r="F111" s="3" t="s">
        <v>591</v>
      </c>
      <c r="G111" s="3" t="s">
        <v>592</v>
      </c>
      <c r="H111" s="3" t="s">
        <v>45</v>
      </c>
      <c r="I111" s="3" t="s">
        <v>252</v>
      </c>
      <c r="J111" s="3" t="s">
        <v>253</v>
      </c>
      <c r="K111" s="3" t="s">
        <v>31</v>
      </c>
      <c r="L111" s="3" t="s">
        <v>340</v>
      </c>
      <c r="M111" s="3"/>
      <c r="N111" s="3"/>
      <c r="O111" s="3"/>
      <c r="P111" s="3"/>
      <c r="Q111" s="3"/>
      <c r="R111" s="3"/>
      <c r="S111" s="3"/>
      <c r="T111" s="3"/>
      <c r="U111" s="3">
        <v>715</v>
      </c>
      <c r="V111" s="4">
        <v>43810</v>
      </c>
      <c r="W111" s="3" t="s">
        <v>33</v>
      </c>
      <c r="X111" s="3" t="s">
        <v>591</v>
      </c>
    </row>
    <row r="112" spans="1:24" ht="27.95" x14ac:dyDescent="0.3">
      <c r="A112" s="3">
        <v>106</v>
      </c>
      <c r="B112" s="3" t="str">
        <f>"201600125349"</f>
        <v>201600125349</v>
      </c>
      <c r="C112" s="3">
        <v>123594</v>
      </c>
      <c r="D112" s="3" t="s">
        <v>593</v>
      </c>
      <c r="E112" s="3">
        <v>10426361499</v>
      </c>
      <c r="F112" s="3" t="s">
        <v>594</v>
      </c>
      <c r="G112" s="3" t="s">
        <v>595</v>
      </c>
      <c r="H112" s="3" t="s">
        <v>514</v>
      </c>
      <c r="I112" s="3" t="s">
        <v>596</v>
      </c>
      <c r="J112" s="3" t="s">
        <v>597</v>
      </c>
      <c r="K112" s="3" t="s">
        <v>31</v>
      </c>
      <c r="L112" s="3" t="s">
        <v>598</v>
      </c>
      <c r="M112" s="3"/>
      <c r="N112" s="3"/>
      <c r="O112" s="3"/>
      <c r="P112" s="3"/>
      <c r="Q112" s="3"/>
      <c r="R112" s="3"/>
      <c r="S112" s="3"/>
      <c r="T112" s="3"/>
      <c r="U112" s="3">
        <v>330</v>
      </c>
      <c r="V112" s="4">
        <v>42627</v>
      </c>
      <c r="W112" s="3" t="s">
        <v>33</v>
      </c>
      <c r="X112" s="3" t="s">
        <v>594</v>
      </c>
    </row>
    <row r="113" spans="1:24" ht="27.95" x14ac:dyDescent="0.3">
      <c r="A113" s="3">
        <v>107</v>
      </c>
      <c r="B113" s="3" t="str">
        <f>"201800209490"</f>
        <v>201800209490</v>
      </c>
      <c r="C113" s="3">
        <v>140401</v>
      </c>
      <c r="D113" s="3" t="s">
        <v>599</v>
      </c>
      <c r="E113" s="3">
        <v>10410037781</v>
      </c>
      <c r="F113" s="3" t="s">
        <v>600</v>
      </c>
      <c r="G113" s="3" t="s">
        <v>601</v>
      </c>
      <c r="H113" s="3" t="s">
        <v>45</v>
      </c>
      <c r="I113" s="3" t="s">
        <v>46</v>
      </c>
      <c r="J113" s="3" t="s">
        <v>163</v>
      </c>
      <c r="K113" s="3" t="s">
        <v>31</v>
      </c>
      <c r="L113" s="3" t="s">
        <v>340</v>
      </c>
      <c r="M113" s="3"/>
      <c r="N113" s="3"/>
      <c r="O113" s="3"/>
      <c r="P113" s="3"/>
      <c r="Q113" s="3"/>
      <c r="R113" s="3"/>
      <c r="S113" s="3"/>
      <c r="T113" s="3"/>
      <c r="U113" s="3">
        <v>715</v>
      </c>
      <c r="V113" s="4">
        <v>43453</v>
      </c>
      <c r="W113" s="3" t="s">
        <v>33</v>
      </c>
      <c r="X113" s="3" t="s">
        <v>600</v>
      </c>
    </row>
    <row r="114" spans="1:24" ht="27.95" x14ac:dyDescent="0.3">
      <c r="A114" s="3">
        <v>108</v>
      </c>
      <c r="B114" s="3" t="str">
        <f>"1586509"</f>
        <v>1586509</v>
      </c>
      <c r="C114" s="3">
        <v>42409</v>
      </c>
      <c r="D114" s="3" t="s">
        <v>602</v>
      </c>
      <c r="E114" s="3">
        <v>10335966274</v>
      </c>
      <c r="F114" s="3" t="s">
        <v>603</v>
      </c>
      <c r="G114" s="3" t="s">
        <v>604</v>
      </c>
      <c r="H114" s="3" t="s">
        <v>84</v>
      </c>
      <c r="I114" s="3" t="s">
        <v>85</v>
      </c>
      <c r="J114" s="3" t="s">
        <v>422</v>
      </c>
      <c r="K114" s="3" t="s">
        <v>31</v>
      </c>
      <c r="L114" s="3" t="s">
        <v>108</v>
      </c>
      <c r="M114" s="3" t="s">
        <v>50</v>
      </c>
      <c r="N114" s="3" t="s">
        <v>548</v>
      </c>
      <c r="O114" s="3"/>
      <c r="P114" s="3"/>
      <c r="Q114" s="3"/>
      <c r="R114" s="3"/>
      <c r="S114" s="3"/>
      <c r="T114" s="3"/>
      <c r="U114" s="3">
        <v>342</v>
      </c>
      <c r="V114" s="4">
        <v>38777</v>
      </c>
      <c r="W114" s="3" t="s">
        <v>33</v>
      </c>
      <c r="X114" s="3" t="s">
        <v>605</v>
      </c>
    </row>
    <row r="115" spans="1:24" ht="27.95" x14ac:dyDescent="0.3">
      <c r="A115" s="3">
        <v>109</v>
      </c>
      <c r="B115" s="3" t="str">
        <f>"201100156017"</f>
        <v>201100156017</v>
      </c>
      <c r="C115" s="3">
        <v>94510</v>
      </c>
      <c r="D115" s="3" t="s">
        <v>606</v>
      </c>
      <c r="E115" s="3">
        <v>10247125600</v>
      </c>
      <c r="F115" s="3" t="s">
        <v>607</v>
      </c>
      <c r="G115" s="3" t="s">
        <v>608</v>
      </c>
      <c r="H115" s="3" t="s">
        <v>28</v>
      </c>
      <c r="I115" s="3" t="s">
        <v>565</v>
      </c>
      <c r="J115" s="3" t="s">
        <v>609</v>
      </c>
      <c r="K115" s="3" t="s">
        <v>31</v>
      </c>
      <c r="L115" s="3" t="s">
        <v>610</v>
      </c>
      <c r="M115" s="3"/>
      <c r="N115" s="3"/>
      <c r="O115" s="3"/>
      <c r="P115" s="3"/>
      <c r="Q115" s="3"/>
      <c r="R115" s="3"/>
      <c r="S115" s="3"/>
      <c r="T115" s="3"/>
      <c r="U115" s="3">
        <v>741</v>
      </c>
      <c r="V115" s="4">
        <v>40881</v>
      </c>
      <c r="W115" s="3" t="s">
        <v>33</v>
      </c>
      <c r="X115" s="3" t="s">
        <v>607</v>
      </c>
    </row>
    <row r="116" spans="1:24" ht="27.95" x14ac:dyDescent="0.3">
      <c r="A116" s="3">
        <v>110</v>
      </c>
      <c r="B116" s="3" t="str">
        <f>"201100159673"</f>
        <v>201100159673</v>
      </c>
      <c r="C116" s="3">
        <v>95006</v>
      </c>
      <c r="D116" s="3" t="s">
        <v>611</v>
      </c>
      <c r="E116" s="3">
        <v>10252041112</v>
      </c>
      <c r="F116" s="3" t="s">
        <v>612</v>
      </c>
      <c r="G116" s="3" t="s">
        <v>613</v>
      </c>
      <c r="H116" s="3" t="s">
        <v>28</v>
      </c>
      <c r="I116" s="3" t="s">
        <v>203</v>
      </c>
      <c r="J116" s="3" t="s">
        <v>614</v>
      </c>
      <c r="K116" s="3" t="s">
        <v>31</v>
      </c>
      <c r="L116" s="3" t="s">
        <v>615</v>
      </c>
      <c r="M116" s="3"/>
      <c r="N116" s="3"/>
      <c r="O116" s="3"/>
      <c r="P116" s="3"/>
      <c r="Q116" s="3"/>
      <c r="R116" s="3"/>
      <c r="S116" s="3"/>
      <c r="T116" s="3"/>
      <c r="U116" s="3">
        <v>342</v>
      </c>
      <c r="V116" s="4">
        <v>40882</v>
      </c>
      <c r="W116" s="3" t="s">
        <v>33</v>
      </c>
      <c r="X116" s="3" t="s">
        <v>612</v>
      </c>
    </row>
    <row r="117" spans="1:24" ht="27.95" x14ac:dyDescent="0.3">
      <c r="A117" s="3">
        <v>111</v>
      </c>
      <c r="B117" s="3" t="str">
        <f>"201800175982"</f>
        <v>201800175982</v>
      </c>
      <c r="C117" s="3">
        <v>139249</v>
      </c>
      <c r="D117" s="3" t="s">
        <v>616</v>
      </c>
      <c r="E117" s="3">
        <v>10443292441</v>
      </c>
      <c r="F117" s="3" t="s">
        <v>617</v>
      </c>
      <c r="G117" s="3" t="s">
        <v>618</v>
      </c>
      <c r="H117" s="3" t="s">
        <v>28</v>
      </c>
      <c r="I117" s="3" t="s">
        <v>579</v>
      </c>
      <c r="J117" s="3" t="s">
        <v>580</v>
      </c>
      <c r="K117" s="3" t="s">
        <v>31</v>
      </c>
      <c r="L117" s="3" t="s">
        <v>32</v>
      </c>
      <c r="M117" s="3"/>
      <c r="N117" s="3"/>
      <c r="O117" s="3"/>
      <c r="P117" s="3"/>
      <c r="Q117" s="3"/>
      <c r="R117" s="3"/>
      <c r="S117" s="3"/>
      <c r="T117" s="3"/>
      <c r="U117" s="3">
        <v>715</v>
      </c>
      <c r="V117" s="4">
        <v>43397</v>
      </c>
      <c r="W117" s="3" t="s">
        <v>33</v>
      </c>
      <c r="X117" s="3" t="s">
        <v>617</v>
      </c>
    </row>
    <row r="118" spans="1:24" ht="27.95" x14ac:dyDescent="0.3">
      <c r="A118" s="3">
        <v>112</v>
      </c>
      <c r="B118" s="3" t="str">
        <f>"201400047002"</f>
        <v>201400047002</v>
      </c>
      <c r="C118" s="3">
        <v>108926</v>
      </c>
      <c r="D118" s="3" t="s">
        <v>619</v>
      </c>
      <c r="E118" s="3">
        <v>10272662091</v>
      </c>
      <c r="F118" s="3" t="s">
        <v>620</v>
      </c>
      <c r="G118" s="3" t="s">
        <v>621</v>
      </c>
      <c r="H118" s="3" t="s">
        <v>233</v>
      </c>
      <c r="I118" s="3" t="s">
        <v>262</v>
      </c>
      <c r="J118" s="3" t="s">
        <v>263</v>
      </c>
      <c r="K118" s="3" t="s">
        <v>31</v>
      </c>
      <c r="L118" s="3" t="s">
        <v>622</v>
      </c>
      <c r="M118" s="3"/>
      <c r="N118" s="3"/>
      <c r="O118" s="3"/>
      <c r="P118" s="3"/>
      <c r="Q118" s="3"/>
      <c r="R118" s="3"/>
      <c r="S118" s="3"/>
      <c r="T118" s="3"/>
      <c r="U118" s="3">
        <v>330</v>
      </c>
      <c r="V118" s="4">
        <v>41743</v>
      </c>
      <c r="W118" s="3" t="s">
        <v>33</v>
      </c>
      <c r="X118" s="3" t="s">
        <v>620</v>
      </c>
    </row>
    <row r="119" spans="1:24" ht="27.95" x14ac:dyDescent="0.3">
      <c r="A119" s="3">
        <v>113</v>
      </c>
      <c r="B119" s="3" t="str">
        <f>"201400106016"</f>
        <v>201400106016</v>
      </c>
      <c r="C119" s="3">
        <v>111090</v>
      </c>
      <c r="D119" s="3" t="s">
        <v>623</v>
      </c>
      <c r="E119" s="3">
        <v>10100718052</v>
      </c>
      <c r="F119" s="3" t="s">
        <v>624</v>
      </c>
      <c r="G119" s="3" t="s">
        <v>625</v>
      </c>
      <c r="H119" s="3" t="s">
        <v>233</v>
      </c>
      <c r="I119" s="3" t="s">
        <v>274</v>
      </c>
      <c r="J119" s="3" t="s">
        <v>626</v>
      </c>
      <c r="K119" s="3" t="s">
        <v>31</v>
      </c>
      <c r="L119" s="3" t="s">
        <v>622</v>
      </c>
      <c r="M119" s="3"/>
      <c r="N119" s="3"/>
      <c r="O119" s="3"/>
      <c r="P119" s="3"/>
      <c r="Q119" s="3"/>
      <c r="R119" s="3"/>
      <c r="S119" s="3"/>
      <c r="T119" s="3"/>
      <c r="U119" s="3">
        <v>330</v>
      </c>
      <c r="V119" s="4">
        <v>41869</v>
      </c>
      <c r="W119" s="3" t="s">
        <v>33</v>
      </c>
      <c r="X119" s="3" t="s">
        <v>624</v>
      </c>
    </row>
    <row r="120" spans="1:24" ht="27.95" x14ac:dyDescent="0.3">
      <c r="A120" s="3">
        <v>114</v>
      </c>
      <c r="B120" s="3" t="str">
        <f>"201900020651"</f>
        <v>201900020651</v>
      </c>
      <c r="C120" s="3">
        <v>141241</v>
      </c>
      <c r="D120" s="3" t="s">
        <v>627</v>
      </c>
      <c r="E120" s="3">
        <v>10053971062</v>
      </c>
      <c r="F120" s="3" t="s">
        <v>628</v>
      </c>
      <c r="G120" s="3" t="s">
        <v>629</v>
      </c>
      <c r="H120" s="3" t="s">
        <v>84</v>
      </c>
      <c r="I120" s="3" t="s">
        <v>85</v>
      </c>
      <c r="J120" s="3" t="s">
        <v>86</v>
      </c>
      <c r="K120" s="3" t="s">
        <v>31</v>
      </c>
      <c r="L120" s="3" t="s">
        <v>94</v>
      </c>
      <c r="M120" s="3" t="s">
        <v>95</v>
      </c>
      <c r="N120" s="3"/>
      <c r="O120" s="3"/>
      <c r="P120" s="3"/>
      <c r="Q120" s="3"/>
      <c r="R120" s="3"/>
      <c r="S120" s="3"/>
      <c r="T120" s="3"/>
      <c r="U120" s="3">
        <v>715</v>
      </c>
      <c r="V120" s="4">
        <v>43509</v>
      </c>
      <c r="W120" s="3" t="s">
        <v>33</v>
      </c>
      <c r="X120" s="3" t="s">
        <v>628</v>
      </c>
    </row>
    <row r="121" spans="1:24" ht="27.95" x14ac:dyDescent="0.3">
      <c r="A121" s="3">
        <v>115</v>
      </c>
      <c r="B121" s="3" t="str">
        <f>"201900083408"</f>
        <v>201900083408</v>
      </c>
      <c r="C121" s="3">
        <v>115438</v>
      </c>
      <c r="D121" s="3" t="s">
        <v>630</v>
      </c>
      <c r="E121" s="3">
        <v>10411404752</v>
      </c>
      <c r="F121" s="3" t="s">
        <v>631</v>
      </c>
      <c r="G121" s="3" t="s">
        <v>632</v>
      </c>
      <c r="H121" s="3" t="s">
        <v>28</v>
      </c>
      <c r="I121" s="3" t="s">
        <v>55</v>
      </c>
      <c r="J121" s="3" t="s">
        <v>633</v>
      </c>
      <c r="K121" s="3" t="s">
        <v>31</v>
      </c>
      <c r="L121" s="3" t="s">
        <v>32</v>
      </c>
      <c r="M121" s="3"/>
      <c r="N121" s="3"/>
      <c r="O121" s="3"/>
      <c r="P121" s="3"/>
      <c r="Q121" s="3"/>
      <c r="R121" s="3"/>
      <c r="S121" s="3"/>
      <c r="T121" s="3"/>
      <c r="U121" s="3">
        <v>715</v>
      </c>
      <c r="V121" s="4">
        <v>43613</v>
      </c>
      <c r="W121" s="3" t="s">
        <v>33</v>
      </c>
      <c r="X121" s="3" t="s">
        <v>631</v>
      </c>
    </row>
    <row r="122" spans="1:24" ht="27.95" x14ac:dyDescent="0.3">
      <c r="A122" s="3">
        <v>116</v>
      </c>
      <c r="B122" s="3" t="str">
        <f>"201400017987"</f>
        <v>201400017987</v>
      </c>
      <c r="C122" s="3">
        <v>107964</v>
      </c>
      <c r="D122" s="3" t="s">
        <v>634</v>
      </c>
      <c r="E122" s="3">
        <v>10434105141</v>
      </c>
      <c r="F122" s="3" t="s">
        <v>635</v>
      </c>
      <c r="G122" s="3" t="s">
        <v>636</v>
      </c>
      <c r="H122" s="3" t="s">
        <v>233</v>
      </c>
      <c r="I122" s="3" t="s">
        <v>637</v>
      </c>
      <c r="J122" s="3" t="s">
        <v>638</v>
      </c>
      <c r="K122" s="3" t="s">
        <v>31</v>
      </c>
      <c r="L122" s="3" t="s">
        <v>506</v>
      </c>
      <c r="M122" s="3"/>
      <c r="N122" s="3"/>
      <c r="O122" s="3"/>
      <c r="P122" s="3"/>
      <c r="Q122" s="3"/>
      <c r="R122" s="3"/>
      <c r="S122" s="3"/>
      <c r="T122" s="3"/>
      <c r="U122" s="3">
        <v>330</v>
      </c>
      <c r="V122" s="4">
        <v>41681</v>
      </c>
      <c r="W122" s="3" t="s">
        <v>33</v>
      </c>
      <c r="X122" s="3" t="s">
        <v>635</v>
      </c>
    </row>
    <row r="123" spans="1:24" ht="41.95" x14ac:dyDescent="0.3">
      <c r="A123" s="3">
        <v>117</v>
      </c>
      <c r="B123" s="3" t="str">
        <f>"202000003911"</f>
        <v>202000003911</v>
      </c>
      <c r="C123" s="3">
        <v>148675</v>
      </c>
      <c r="D123" s="3" t="s">
        <v>639</v>
      </c>
      <c r="E123" s="3">
        <v>20604369089</v>
      </c>
      <c r="F123" s="3" t="s">
        <v>640</v>
      </c>
      <c r="G123" s="3" t="s">
        <v>641</v>
      </c>
      <c r="H123" s="3" t="s">
        <v>73</v>
      </c>
      <c r="I123" s="3" t="s">
        <v>642</v>
      </c>
      <c r="J123" s="3" t="s">
        <v>643</v>
      </c>
      <c r="K123" s="3" t="s">
        <v>31</v>
      </c>
      <c r="L123" s="3" t="s">
        <v>644</v>
      </c>
      <c r="M123" s="3" t="s">
        <v>645</v>
      </c>
      <c r="N123" s="3"/>
      <c r="O123" s="3"/>
      <c r="P123" s="3"/>
      <c r="Q123" s="3"/>
      <c r="R123" s="3"/>
      <c r="S123" s="3"/>
      <c r="T123" s="3"/>
      <c r="U123" s="3">
        <v>660</v>
      </c>
      <c r="V123" s="4">
        <v>43846</v>
      </c>
      <c r="W123" s="4">
        <v>44212</v>
      </c>
      <c r="X123" s="3" t="s">
        <v>646</v>
      </c>
    </row>
    <row r="124" spans="1:24" ht="27.95" x14ac:dyDescent="0.3">
      <c r="A124" s="3">
        <v>118</v>
      </c>
      <c r="B124" s="3" t="str">
        <f>"201500034178"</f>
        <v>201500034178</v>
      </c>
      <c r="C124" s="3">
        <v>109856</v>
      </c>
      <c r="D124" s="3" t="s">
        <v>647</v>
      </c>
      <c r="E124" s="3">
        <v>20564259188</v>
      </c>
      <c r="F124" s="3" t="s">
        <v>648</v>
      </c>
      <c r="G124" s="3" t="s">
        <v>649</v>
      </c>
      <c r="H124" s="3" t="s">
        <v>28</v>
      </c>
      <c r="I124" s="3" t="s">
        <v>203</v>
      </c>
      <c r="J124" s="3" t="s">
        <v>614</v>
      </c>
      <c r="K124" s="3" t="s">
        <v>31</v>
      </c>
      <c r="L124" s="3" t="s">
        <v>650</v>
      </c>
      <c r="M124" s="3"/>
      <c r="N124" s="3"/>
      <c r="O124" s="3"/>
      <c r="P124" s="3"/>
      <c r="Q124" s="3"/>
      <c r="R124" s="3"/>
      <c r="S124" s="3"/>
      <c r="T124" s="3"/>
      <c r="U124" s="3">
        <v>330</v>
      </c>
      <c r="V124" s="4">
        <v>42082</v>
      </c>
      <c r="W124" s="3" t="s">
        <v>33</v>
      </c>
      <c r="X124" s="3" t="s">
        <v>651</v>
      </c>
    </row>
    <row r="125" spans="1:24" ht="27.95" x14ac:dyDescent="0.3">
      <c r="A125" s="3">
        <v>119</v>
      </c>
      <c r="B125" s="3" t="str">
        <f>"201900075118"</f>
        <v>201900075118</v>
      </c>
      <c r="C125" s="3">
        <v>143063</v>
      </c>
      <c r="D125" s="3" t="s">
        <v>652</v>
      </c>
      <c r="E125" s="3">
        <v>10465946291</v>
      </c>
      <c r="F125" s="3" t="s">
        <v>653</v>
      </c>
      <c r="G125" s="3" t="s">
        <v>654</v>
      </c>
      <c r="H125" s="3" t="s">
        <v>92</v>
      </c>
      <c r="I125" s="3" t="s">
        <v>655</v>
      </c>
      <c r="J125" s="3" t="s">
        <v>656</v>
      </c>
      <c r="K125" s="3" t="s">
        <v>31</v>
      </c>
      <c r="L125" s="3" t="s">
        <v>115</v>
      </c>
      <c r="M125" s="3"/>
      <c r="N125" s="3"/>
      <c r="O125" s="3"/>
      <c r="P125" s="3"/>
      <c r="Q125" s="3"/>
      <c r="R125" s="3"/>
      <c r="S125" s="3"/>
      <c r="T125" s="3"/>
      <c r="U125" s="3">
        <v>0</v>
      </c>
      <c r="V125" s="4">
        <v>43598</v>
      </c>
      <c r="W125" s="3" t="s">
        <v>33</v>
      </c>
      <c r="X125" s="3" t="s">
        <v>653</v>
      </c>
    </row>
    <row r="126" spans="1:24" ht="27.95" x14ac:dyDescent="0.3">
      <c r="A126" s="3">
        <v>120</v>
      </c>
      <c r="B126" s="3" t="str">
        <f>"201300047710"</f>
        <v>201300047710</v>
      </c>
      <c r="C126" s="3">
        <v>21618</v>
      </c>
      <c r="D126" s="3" t="s">
        <v>657</v>
      </c>
      <c r="E126" s="3">
        <v>10454193089</v>
      </c>
      <c r="F126" s="3" t="s">
        <v>658</v>
      </c>
      <c r="G126" s="3" t="s">
        <v>659</v>
      </c>
      <c r="H126" s="3" t="s">
        <v>45</v>
      </c>
      <c r="I126" s="3" t="s">
        <v>105</v>
      </c>
      <c r="J126" s="3" t="s">
        <v>144</v>
      </c>
      <c r="K126" s="3" t="s">
        <v>31</v>
      </c>
      <c r="L126" s="3" t="s">
        <v>182</v>
      </c>
      <c r="M126" s="3" t="s">
        <v>181</v>
      </c>
      <c r="N126" s="3"/>
      <c r="O126" s="3"/>
      <c r="P126" s="3"/>
      <c r="Q126" s="3"/>
      <c r="R126" s="3"/>
      <c r="S126" s="3"/>
      <c r="T126" s="3"/>
      <c r="U126" s="3">
        <v>330</v>
      </c>
      <c r="V126" s="4">
        <v>41357</v>
      </c>
      <c r="W126" s="3" t="s">
        <v>33</v>
      </c>
      <c r="X126" s="3" t="s">
        <v>658</v>
      </c>
    </row>
    <row r="127" spans="1:24" ht="27.95" x14ac:dyDescent="0.3">
      <c r="A127" s="3">
        <v>121</v>
      </c>
      <c r="B127" s="3" t="str">
        <f>"201800054804"</f>
        <v>201800054804</v>
      </c>
      <c r="C127" s="3">
        <v>134529</v>
      </c>
      <c r="D127" s="3" t="s">
        <v>660</v>
      </c>
      <c r="E127" s="3">
        <v>10073721941</v>
      </c>
      <c r="F127" s="3" t="s">
        <v>661</v>
      </c>
      <c r="G127" s="3" t="s">
        <v>662</v>
      </c>
      <c r="H127" s="3" t="s">
        <v>28</v>
      </c>
      <c r="I127" s="3" t="s">
        <v>663</v>
      </c>
      <c r="J127" s="3" t="s">
        <v>663</v>
      </c>
      <c r="K127" s="3" t="s">
        <v>31</v>
      </c>
      <c r="L127" s="3" t="s">
        <v>664</v>
      </c>
      <c r="M127" s="3"/>
      <c r="N127" s="3"/>
      <c r="O127" s="3"/>
      <c r="P127" s="3"/>
      <c r="Q127" s="3"/>
      <c r="R127" s="3"/>
      <c r="S127" s="3"/>
      <c r="T127" s="3"/>
      <c r="U127" s="3">
        <v>715</v>
      </c>
      <c r="V127" s="4">
        <v>43193</v>
      </c>
      <c r="W127" s="3" t="s">
        <v>33</v>
      </c>
      <c r="X127" s="3" t="s">
        <v>661</v>
      </c>
    </row>
    <row r="128" spans="1:24" ht="27.95" x14ac:dyDescent="0.3">
      <c r="A128" s="3">
        <v>122</v>
      </c>
      <c r="B128" s="3" t="str">
        <f>"201300046645"</f>
        <v>201300046645</v>
      </c>
      <c r="C128" s="3">
        <v>17942</v>
      </c>
      <c r="D128" s="3" t="s">
        <v>665</v>
      </c>
      <c r="E128" s="3">
        <v>20447683050</v>
      </c>
      <c r="F128" s="3" t="s">
        <v>666</v>
      </c>
      <c r="G128" s="3" t="s">
        <v>667</v>
      </c>
      <c r="H128" s="3" t="s">
        <v>45</v>
      </c>
      <c r="I128" s="3" t="s">
        <v>668</v>
      </c>
      <c r="J128" s="3" t="s">
        <v>669</v>
      </c>
      <c r="K128" s="3" t="s">
        <v>31</v>
      </c>
      <c r="L128" s="3" t="s">
        <v>182</v>
      </c>
      <c r="M128" s="3" t="s">
        <v>181</v>
      </c>
      <c r="N128" s="3"/>
      <c r="O128" s="3"/>
      <c r="P128" s="3"/>
      <c r="Q128" s="3"/>
      <c r="R128" s="3"/>
      <c r="S128" s="3"/>
      <c r="T128" s="3"/>
      <c r="U128" s="3">
        <v>330</v>
      </c>
      <c r="V128" s="4">
        <v>41336</v>
      </c>
      <c r="W128" s="3" t="s">
        <v>33</v>
      </c>
      <c r="X128" s="3" t="s">
        <v>670</v>
      </c>
    </row>
    <row r="129" spans="1:24" ht="27.95" x14ac:dyDescent="0.3">
      <c r="A129" s="3">
        <v>123</v>
      </c>
      <c r="B129" s="3" t="str">
        <f>"202000129712"</f>
        <v>202000129712</v>
      </c>
      <c r="C129" s="3">
        <v>151496</v>
      </c>
      <c r="D129" s="3" t="s">
        <v>671</v>
      </c>
      <c r="E129" s="3">
        <v>10224156176</v>
      </c>
      <c r="F129" s="3" t="s">
        <v>672</v>
      </c>
      <c r="G129" s="3" t="s">
        <v>673</v>
      </c>
      <c r="H129" s="3" t="s">
        <v>73</v>
      </c>
      <c r="I129" s="3" t="s">
        <v>674</v>
      </c>
      <c r="J129" s="3" t="s">
        <v>675</v>
      </c>
      <c r="K129" s="3" t="s">
        <v>31</v>
      </c>
      <c r="L129" s="3" t="s">
        <v>236</v>
      </c>
      <c r="M129" s="3" t="s">
        <v>644</v>
      </c>
      <c r="N129" s="3"/>
      <c r="O129" s="3"/>
      <c r="P129" s="3"/>
      <c r="Q129" s="3"/>
      <c r="R129" s="3"/>
      <c r="S129" s="3"/>
      <c r="T129" s="3"/>
      <c r="U129" s="3">
        <v>715</v>
      </c>
      <c r="V129" s="4">
        <v>44101</v>
      </c>
      <c r="W129" s="3" t="s">
        <v>33</v>
      </c>
      <c r="X129" s="3" t="s">
        <v>672</v>
      </c>
    </row>
    <row r="130" spans="1:24" ht="27.95" x14ac:dyDescent="0.3">
      <c r="A130" s="3">
        <v>124</v>
      </c>
      <c r="B130" s="3" t="str">
        <f>"1273812"</f>
        <v>1273812</v>
      </c>
      <c r="C130" s="3">
        <v>17926</v>
      </c>
      <c r="D130" s="3" t="s">
        <v>676</v>
      </c>
      <c r="E130" s="3">
        <v>10018039911</v>
      </c>
      <c r="F130" s="3" t="s">
        <v>677</v>
      </c>
      <c r="G130" s="3" t="s">
        <v>678</v>
      </c>
      <c r="H130" s="3" t="s">
        <v>45</v>
      </c>
      <c r="I130" s="3" t="s">
        <v>214</v>
      </c>
      <c r="J130" s="3" t="s">
        <v>474</v>
      </c>
      <c r="K130" s="3" t="s">
        <v>31</v>
      </c>
      <c r="L130" s="3" t="s">
        <v>49</v>
      </c>
      <c r="M130" s="3" t="s">
        <v>48</v>
      </c>
      <c r="N130" s="3" t="s">
        <v>50</v>
      </c>
      <c r="O130" s="3"/>
      <c r="P130" s="3"/>
      <c r="Q130" s="3"/>
      <c r="R130" s="3"/>
      <c r="S130" s="3"/>
      <c r="T130" s="3"/>
      <c r="U130" s="3">
        <v>440</v>
      </c>
      <c r="V130" s="4">
        <v>36571</v>
      </c>
      <c r="W130" s="3" t="s">
        <v>33</v>
      </c>
      <c r="X130" s="3" t="s">
        <v>679</v>
      </c>
    </row>
    <row r="131" spans="1:24" ht="27.95" x14ac:dyDescent="0.3">
      <c r="A131" s="3">
        <v>125</v>
      </c>
      <c r="B131" s="3" t="str">
        <f>"1657284"</f>
        <v>1657284</v>
      </c>
      <c r="C131" s="3">
        <v>44245</v>
      </c>
      <c r="D131" s="3" t="s">
        <v>680</v>
      </c>
      <c r="E131" s="3">
        <v>10174446836</v>
      </c>
      <c r="F131" s="3" t="s">
        <v>681</v>
      </c>
      <c r="G131" s="3" t="s">
        <v>682</v>
      </c>
      <c r="H131" s="3" t="s">
        <v>84</v>
      </c>
      <c r="I131" s="3" t="s">
        <v>421</v>
      </c>
      <c r="J131" s="3" t="s">
        <v>241</v>
      </c>
      <c r="K131" s="3" t="s">
        <v>31</v>
      </c>
      <c r="L131" s="3" t="s">
        <v>269</v>
      </c>
      <c r="M131" s="3" t="s">
        <v>197</v>
      </c>
      <c r="N131" s="3" t="s">
        <v>683</v>
      </c>
      <c r="O131" s="3"/>
      <c r="P131" s="3"/>
      <c r="Q131" s="3"/>
      <c r="R131" s="3"/>
      <c r="S131" s="3"/>
      <c r="T131" s="3"/>
      <c r="U131" s="3">
        <v>741</v>
      </c>
      <c r="V131" s="4">
        <v>39063</v>
      </c>
      <c r="W131" s="3" t="s">
        <v>33</v>
      </c>
      <c r="X131" s="3" t="s">
        <v>684</v>
      </c>
    </row>
    <row r="132" spans="1:24" ht="27.95" x14ac:dyDescent="0.3">
      <c r="A132" s="3">
        <v>126</v>
      </c>
      <c r="B132" s="3" t="str">
        <f>"201200124775"</f>
        <v>201200124775</v>
      </c>
      <c r="C132" s="3">
        <v>61729</v>
      </c>
      <c r="D132" s="3" t="s">
        <v>685</v>
      </c>
      <c r="E132" s="3">
        <v>10406838817</v>
      </c>
      <c r="F132" s="3" t="s">
        <v>686</v>
      </c>
      <c r="G132" s="3" t="s">
        <v>687</v>
      </c>
      <c r="H132" s="3" t="s">
        <v>73</v>
      </c>
      <c r="I132" s="3" t="s">
        <v>674</v>
      </c>
      <c r="J132" s="3" t="s">
        <v>688</v>
      </c>
      <c r="K132" s="3" t="s">
        <v>31</v>
      </c>
      <c r="L132" s="3" t="s">
        <v>39</v>
      </c>
      <c r="M132" s="3" t="s">
        <v>40</v>
      </c>
      <c r="N132" s="3" t="s">
        <v>41</v>
      </c>
      <c r="O132" s="3"/>
      <c r="P132" s="3"/>
      <c r="Q132" s="3"/>
      <c r="R132" s="3"/>
      <c r="S132" s="3"/>
      <c r="T132" s="3"/>
      <c r="U132" s="3">
        <v>330</v>
      </c>
      <c r="V132" s="4">
        <v>41078</v>
      </c>
      <c r="W132" s="3" t="s">
        <v>33</v>
      </c>
      <c r="X132" s="3" t="s">
        <v>686</v>
      </c>
    </row>
    <row r="133" spans="1:24" ht="27.95" x14ac:dyDescent="0.3">
      <c r="A133" s="3">
        <v>127</v>
      </c>
      <c r="B133" s="3" t="str">
        <f>"201700198493"</f>
        <v>201700198493</v>
      </c>
      <c r="C133" s="3">
        <v>133057</v>
      </c>
      <c r="D133" s="3" t="s">
        <v>689</v>
      </c>
      <c r="E133" s="3">
        <v>10230988850</v>
      </c>
      <c r="F133" s="3" t="s">
        <v>690</v>
      </c>
      <c r="G133" s="3" t="s">
        <v>691</v>
      </c>
      <c r="H133" s="3" t="s">
        <v>73</v>
      </c>
      <c r="I133" s="3" t="s">
        <v>692</v>
      </c>
      <c r="J133" s="3" t="s">
        <v>692</v>
      </c>
      <c r="K133" s="3" t="s">
        <v>31</v>
      </c>
      <c r="L133" s="3" t="s">
        <v>39</v>
      </c>
      <c r="M133" s="3" t="s">
        <v>40</v>
      </c>
      <c r="N133" s="3" t="s">
        <v>693</v>
      </c>
      <c r="O133" s="3" t="s">
        <v>693</v>
      </c>
      <c r="P133" s="3"/>
      <c r="Q133" s="3"/>
      <c r="R133" s="3"/>
      <c r="S133" s="3"/>
      <c r="T133" s="3"/>
      <c r="U133" s="3">
        <v>220</v>
      </c>
      <c r="V133" s="4">
        <v>43067</v>
      </c>
      <c r="W133" s="3" t="s">
        <v>33</v>
      </c>
      <c r="X133" s="3" t="s">
        <v>690</v>
      </c>
    </row>
    <row r="134" spans="1:24" ht="27.95" x14ac:dyDescent="0.3">
      <c r="A134" s="3">
        <v>128</v>
      </c>
      <c r="B134" s="3" t="str">
        <f>"201600175403"</f>
        <v>201600175403</v>
      </c>
      <c r="C134" s="3">
        <v>122101</v>
      </c>
      <c r="D134" s="3" t="s">
        <v>694</v>
      </c>
      <c r="E134" s="3">
        <v>10164159138</v>
      </c>
      <c r="F134" s="3" t="s">
        <v>695</v>
      </c>
      <c r="G134" s="3" t="s">
        <v>696</v>
      </c>
      <c r="H134" s="3" t="s">
        <v>84</v>
      </c>
      <c r="I134" s="3" t="s">
        <v>421</v>
      </c>
      <c r="J134" s="3" t="s">
        <v>422</v>
      </c>
      <c r="K134" s="3" t="s">
        <v>31</v>
      </c>
      <c r="L134" s="3" t="s">
        <v>228</v>
      </c>
      <c r="M134" s="3"/>
      <c r="N134" s="3"/>
      <c r="O134" s="3"/>
      <c r="P134" s="3"/>
      <c r="Q134" s="3"/>
      <c r="R134" s="3"/>
      <c r="S134" s="3"/>
      <c r="T134" s="3"/>
      <c r="U134" s="3">
        <v>330</v>
      </c>
      <c r="V134" s="4">
        <v>42720</v>
      </c>
      <c r="W134" s="3" t="s">
        <v>33</v>
      </c>
      <c r="X134" s="3" t="s">
        <v>695</v>
      </c>
    </row>
    <row r="135" spans="1:24" ht="27.95" x14ac:dyDescent="0.3">
      <c r="A135" s="3">
        <v>129</v>
      </c>
      <c r="B135" s="3" t="str">
        <f>"201200144785"</f>
        <v>201200144785</v>
      </c>
      <c r="C135" s="3">
        <v>91698</v>
      </c>
      <c r="D135" s="3" t="s">
        <v>697</v>
      </c>
      <c r="E135" s="3">
        <v>10463006429</v>
      </c>
      <c r="F135" s="3" t="s">
        <v>698</v>
      </c>
      <c r="G135" s="3" t="s">
        <v>699</v>
      </c>
      <c r="H135" s="3" t="s">
        <v>233</v>
      </c>
      <c r="I135" s="3" t="s">
        <v>504</v>
      </c>
      <c r="J135" s="3" t="s">
        <v>700</v>
      </c>
      <c r="K135" s="3" t="s">
        <v>31</v>
      </c>
      <c r="L135" s="3" t="s">
        <v>701</v>
      </c>
      <c r="M135" s="3" t="s">
        <v>702</v>
      </c>
      <c r="N135" s="3"/>
      <c r="O135" s="3"/>
      <c r="P135" s="3"/>
      <c r="Q135" s="3"/>
      <c r="R135" s="3"/>
      <c r="S135" s="3"/>
      <c r="T135" s="3"/>
      <c r="U135" s="3">
        <v>330</v>
      </c>
      <c r="V135" s="4">
        <v>41114</v>
      </c>
      <c r="W135" s="3" t="s">
        <v>33</v>
      </c>
      <c r="X135" s="3" t="s">
        <v>698</v>
      </c>
    </row>
    <row r="136" spans="1:24" ht="27.95" x14ac:dyDescent="0.3">
      <c r="A136" s="3">
        <v>130</v>
      </c>
      <c r="B136" s="3" t="str">
        <f>"1670018"</f>
        <v>1670018</v>
      </c>
      <c r="C136" s="3">
        <v>40950</v>
      </c>
      <c r="D136" s="3" t="s">
        <v>703</v>
      </c>
      <c r="E136" s="3">
        <v>10277332251</v>
      </c>
      <c r="F136" s="3" t="s">
        <v>704</v>
      </c>
      <c r="G136" s="3" t="s">
        <v>705</v>
      </c>
      <c r="H136" s="3" t="s">
        <v>194</v>
      </c>
      <c r="I136" s="3" t="s">
        <v>706</v>
      </c>
      <c r="J136" s="3" t="s">
        <v>707</v>
      </c>
      <c r="K136" s="3" t="s">
        <v>31</v>
      </c>
      <c r="L136" s="3" t="s">
        <v>107</v>
      </c>
      <c r="M136" s="3" t="s">
        <v>50</v>
      </c>
      <c r="N136" s="3" t="s">
        <v>197</v>
      </c>
      <c r="O136" s="3"/>
      <c r="P136" s="3"/>
      <c r="Q136" s="3"/>
      <c r="R136" s="3"/>
      <c r="S136" s="3"/>
      <c r="T136" s="3"/>
      <c r="U136" s="3">
        <v>342</v>
      </c>
      <c r="V136" s="4">
        <v>39127</v>
      </c>
      <c r="W136" s="3" t="s">
        <v>33</v>
      </c>
      <c r="X136" s="3" t="s">
        <v>708</v>
      </c>
    </row>
    <row r="137" spans="1:24" ht="27.95" x14ac:dyDescent="0.3">
      <c r="A137" s="3">
        <v>131</v>
      </c>
      <c r="B137" s="3" t="str">
        <f>"201700118690"</f>
        <v>201700118690</v>
      </c>
      <c r="C137" s="3">
        <v>127450</v>
      </c>
      <c r="D137" s="3" t="s">
        <v>709</v>
      </c>
      <c r="E137" s="3">
        <v>20602274889</v>
      </c>
      <c r="F137" s="3" t="s">
        <v>710</v>
      </c>
      <c r="G137" s="3" t="s">
        <v>711</v>
      </c>
      <c r="H137" s="3" t="s">
        <v>233</v>
      </c>
      <c r="I137" s="3" t="s">
        <v>274</v>
      </c>
      <c r="J137" s="3" t="s">
        <v>712</v>
      </c>
      <c r="K137" s="3" t="s">
        <v>31</v>
      </c>
      <c r="L137" s="3"/>
      <c r="M137" s="3"/>
      <c r="N137" s="3"/>
      <c r="O137" s="3" t="s">
        <v>713</v>
      </c>
      <c r="P137" s="3"/>
      <c r="Q137" s="3"/>
      <c r="R137" s="3"/>
      <c r="S137" s="3"/>
      <c r="T137" s="3"/>
      <c r="U137" s="3">
        <v>330</v>
      </c>
      <c r="V137" s="4">
        <v>42949</v>
      </c>
      <c r="W137" s="3" t="s">
        <v>33</v>
      </c>
      <c r="X137" s="3" t="s">
        <v>714</v>
      </c>
    </row>
    <row r="138" spans="1:24" ht="41.95" x14ac:dyDescent="0.3">
      <c r="A138" s="3">
        <v>132</v>
      </c>
      <c r="B138" s="3" t="str">
        <f>"201900057039"</f>
        <v>201900057039</v>
      </c>
      <c r="C138" s="3">
        <v>142529</v>
      </c>
      <c r="D138" s="3" t="s">
        <v>715</v>
      </c>
      <c r="E138" s="3">
        <v>10297146217</v>
      </c>
      <c r="F138" s="3" t="s">
        <v>716</v>
      </c>
      <c r="G138" s="3" t="s">
        <v>717</v>
      </c>
      <c r="H138" s="3" t="s">
        <v>28</v>
      </c>
      <c r="I138" s="3" t="s">
        <v>55</v>
      </c>
      <c r="J138" s="3" t="s">
        <v>390</v>
      </c>
      <c r="K138" s="3" t="s">
        <v>31</v>
      </c>
      <c r="L138" s="3" t="s">
        <v>340</v>
      </c>
      <c r="M138" s="3"/>
      <c r="N138" s="3"/>
      <c r="O138" s="3"/>
      <c r="P138" s="3"/>
      <c r="Q138" s="3"/>
      <c r="R138" s="3"/>
      <c r="S138" s="3"/>
      <c r="T138" s="3"/>
      <c r="U138" s="3">
        <v>715</v>
      </c>
      <c r="V138" s="4">
        <v>43564</v>
      </c>
      <c r="W138" s="3" t="s">
        <v>33</v>
      </c>
      <c r="X138" s="3" t="s">
        <v>716</v>
      </c>
    </row>
    <row r="139" spans="1:24" ht="27.95" x14ac:dyDescent="0.3">
      <c r="A139" s="3">
        <v>133</v>
      </c>
      <c r="B139" s="3" t="str">
        <f>"201300047700"</f>
        <v>201300047700</v>
      </c>
      <c r="C139" s="3">
        <v>17898</v>
      </c>
      <c r="D139" s="3" t="s">
        <v>718</v>
      </c>
      <c r="E139" s="3">
        <v>10012031829</v>
      </c>
      <c r="F139" s="3" t="s">
        <v>719</v>
      </c>
      <c r="G139" s="3" t="s">
        <v>720</v>
      </c>
      <c r="H139" s="3" t="s">
        <v>45</v>
      </c>
      <c r="I139" s="3" t="s">
        <v>179</v>
      </c>
      <c r="J139" s="3" t="s">
        <v>180</v>
      </c>
      <c r="K139" s="3" t="s">
        <v>31</v>
      </c>
      <c r="L139" s="3" t="s">
        <v>322</v>
      </c>
      <c r="M139" s="3" t="s">
        <v>322</v>
      </c>
      <c r="N139" s="3" t="s">
        <v>324</v>
      </c>
      <c r="O139" s="3" t="s">
        <v>324</v>
      </c>
      <c r="P139" s="3" t="s">
        <v>324</v>
      </c>
      <c r="Q139" s="3"/>
      <c r="R139" s="3"/>
      <c r="S139" s="3"/>
      <c r="T139" s="3"/>
      <c r="U139" s="3">
        <v>330</v>
      </c>
      <c r="V139" s="4">
        <v>41357</v>
      </c>
      <c r="W139" s="3" t="s">
        <v>33</v>
      </c>
      <c r="X139" s="3" t="s">
        <v>719</v>
      </c>
    </row>
    <row r="140" spans="1:24" ht="27.95" x14ac:dyDescent="0.3">
      <c r="A140" s="3">
        <v>134</v>
      </c>
      <c r="B140" s="3" t="str">
        <f>"201300096475"</f>
        <v>201300096475</v>
      </c>
      <c r="C140" s="3">
        <v>18810</v>
      </c>
      <c r="D140" s="3" t="s">
        <v>721</v>
      </c>
      <c r="E140" s="3">
        <v>10025488143</v>
      </c>
      <c r="F140" s="3" t="s">
        <v>722</v>
      </c>
      <c r="G140" s="3" t="s">
        <v>723</v>
      </c>
      <c r="H140" s="3" t="s">
        <v>45</v>
      </c>
      <c r="I140" s="3" t="s">
        <v>448</v>
      </c>
      <c r="J140" s="3" t="s">
        <v>724</v>
      </c>
      <c r="K140" s="3" t="s">
        <v>31</v>
      </c>
      <c r="L140" s="3" t="s">
        <v>182</v>
      </c>
      <c r="M140" s="3" t="s">
        <v>181</v>
      </c>
      <c r="N140" s="3"/>
      <c r="O140" s="3"/>
      <c r="P140" s="3"/>
      <c r="Q140" s="3"/>
      <c r="R140" s="3"/>
      <c r="S140" s="3"/>
      <c r="T140" s="3"/>
      <c r="U140" s="3">
        <v>330</v>
      </c>
      <c r="V140" s="4">
        <v>41424</v>
      </c>
      <c r="W140" s="3" t="s">
        <v>33</v>
      </c>
      <c r="X140" s="3" t="s">
        <v>722</v>
      </c>
    </row>
    <row r="141" spans="1:24" ht="27.95" x14ac:dyDescent="0.3">
      <c r="A141" s="3">
        <v>135</v>
      </c>
      <c r="B141" s="3" t="str">
        <f>"201800102036"</f>
        <v>201800102036</v>
      </c>
      <c r="C141" s="3">
        <v>121630</v>
      </c>
      <c r="D141" s="3" t="s">
        <v>725</v>
      </c>
      <c r="E141" s="3">
        <v>20601856035</v>
      </c>
      <c r="F141" s="3" t="s">
        <v>726</v>
      </c>
      <c r="G141" s="3" t="s">
        <v>727</v>
      </c>
      <c r="H141" s="3" t="s">
        <v>45</v>
      </c>
      <c r="I141" s="3" t="s">
        <v>448</v>
      </c>
      <c r="J141" s="3" t="s">
        <v>728</v>
      </c>
      <c r="K141" s="3" t="s">
        <v>31</v>
      </c>
      <c r="L141" s="3"/>
      <c r="M141" s="3"/>
      <c r="N141" s="3"/>
      <c r="O141" s="3" t="s">
        <v>340</v>
      </c>
      <c r="P141" s="3"/>
      <c r="Q141" s="3"/>
      <c r="R141" s="3"/>
      <c r="S141" s="3"/>
      <c r="T141" s="3"/>
      <c r="U141" s="3">
        <v>715</v>
      </c>
      <c r="V141" s="4">
        <v>43277</v>
      </c>
      <c r="W141" s="3" t="s">
        <v>33</v>
      </c>
      <c r="X141" s="3" t="s">
        <v>729</v>
      </c>
    </row>
    <row r="142" spans="1:24" ht="27.95" x14ac:dyDescent="0.3">
      <c r="A142" s="3">
        <v>136</v>
      </c>
      <c r="B142" s="3" t="str">
        <f>"1509597"</f>
        <v>1509597</v>
      </c>
      <c r="C142" s="3">
        <v>39592</v>
      </c>
      <c r="D142" s="3" t="s">
        <v>730</v>
      </c>
      <c r="E142" s="3">
        <v>10274239901</v>
      </c>
      <c r="F142" s="3" t="s">
        <v>731</v>
      </c>
      <c r="G142" s="3" t="s">
        <v>732</v>
      </c>
      <c r="H142" s="3" t="s">
        <v>225</v>
      </c>
      <c r="I142" s="3" t="s">
        <v>268</v>
      </c>
      <c r="J142" s="3" t="s">
        <v>268</v>
      </c>
      <c r="K142" s="3" t="s">
        <v>31</v>
      </c>
      <c r="L142" s="3" t="s">
        <v>733</v>
      </c>
      <c r="M142" s="3" t="s">
        <v>50</v>
      </c>
      <c r="N142" s="3" t="s">
        <v>734</v>
      </c>
      <c r="O142" s="3"/>
      <c r="P142" s="3"/>
      <c r="Q142" s="3"/>
      <c r="R142" s="3"/>
      <c r="S142" s="3"/>
      <c r="T142" s="3"/>
      <c r="U142" s="3">
        <v>741</v>
      </c>
      <c r="V142" s="4">
        <v>38337</v>
      </c>
      <c r="W142" s="3" t="s">
        <v>33</v>
      </c>
      <c r="X142" s="3" t="s">
        <v>735</v>
      </c>
    </row>
    <row r="143" spans="1:24" ht="27.95" x14ac:dyDescent="0.3">
      <c r="A143" s="3">
        <v>137</v>
      </c>
      <c r="B143" s="3" t="str">
        <f>"202000136018"</f>
        <v>202000136018</v>
      </c>
      <c r="C143" s="3">
        <v>146304</v>
      </c>
      <c r="D143" s="3" t="s">
        <v>736</v>
      </c>
      <c r="E143" s="3">
        <v>10453556412</v>
      </c>
      <c r="F143" s="3" t="s">
        <v>737</v>
      </c>
      <c r="G143" s="3" t="s">
        <v>738</v>
      </c>
      <c r="H143" s="3" t="s">
        <v>73</v>
      </c>
      <c r="I143" s="3" t="s">
        <v>674</v>
      </c>
      <c r="J143" s="3" t="s">
        <v>675</v>
      </c>
      <c r="K143" s="3" t="s">
        <v>31</v>
      </c>
      <c r="L143" s="3" t="s">
        <v>739</v>
      </c>
      <c r="M143" s="3"/>
      <c r="N143" s="3"/>
      <c r="O143" s="3"/>
      <c r="P143" s="3"/>
      <c r="Q143" s="3"/>
      <c r="R143" s="3"/>
      <c r="S143" s="3"/>
      <c r="T143" s="3"/>
      <c r="U143" s="3">
        <v>715</v>
      </c>
      <c r="V143" s="4">
        <v>44112</v>
      </c>
      <c r="W143" s="3" t="s">
        <v>33</v>
      </c>
      <c r="X143" s="3" t="s">
        <v>737</v>
      </c>
    </row>
    <row r="144" spans="1:24" ht="27.95" x14ac:dyDescent="0.3">
      <c r="A144" s="3">
        <v>138</v>
      </c>
      <c r="B144" s="3" t="str">
        <f>"1509598"</f>
        <v>1509598</v>
      </c>
      <c r="C144" s="3">
        <v>39602</v>
      </c>
      <c r="D144" s="3" t="s">
        <v>740</v>
      </c>
      <c r="E144" s="3">
        <v>10405603662</v>
      </c>
      <c r="F144" s="3" t="s">
        <v>741</v>
      </c>
      <c r="G144" s="3" t="s">
        <v>742</v>
      </c>
      <c r="H144" s="3" t="s">
        <v>225</v>
      </c>
      <c r="I144" s="3" t="s">
        <v>268</v>
      </c>
      <c r="J144" s="3" t="s">
        <v>268</v>
      </c>
      <c r="K144" s="3" t="s">
        <v>31</v>
      </c>
      <c r="L144" s="3" t="s">
        <v>734</v>
      </c>
      <c r="M144" s="3" t="s">
        <v>50</v>
      </c>
      <c r="N144" s="3" t="s">
        <v>733</v>
      </c>
      <c r="O144" s="3"/>
      <c r="P144" s="3"/>
      <c r="Q144" s="3"/>
      <c r="R144" s="3"/>
      <c r="S144" s="3"/>
      <c r="T144" s="3"/>
      <c r="U144" s="3">
        <v>741</v>
      </c>
      <c r="V144" s="4">
        <v>38337</v>
      </c>
      <c r="W144" s="3" t="s">
        <v>33</v>
      </c>
      <c r="X144" s="3" t="s">
        <v>743</v>
      </c>
    </row>
    <row r="145" spans="1:24" ht="27.95" x14ac:dyDescent="0.3">
      <c r="A145" s="3">
        <v>139</v>
      </c>
      <c r="B145" s="3" t="str">
        <f>"202000009940"</f>
        <v>202000009940</v>
      </c>
      <c r="C145" s="3">
        <v>147727</v>
      </c>
      <c r="D145" s="3" t="s">
        <v>744</v>
      </c>
      <c r="E145" s="3">
        <v>10081575440</v>
      </c>
      <c r="F145" s="3" t="s">
        <v>745</v>
      </c>
      <c r="G145" s="3" t="s">
        <v>746</v>
      </c>
      <c r="H145" s="3" t="s">
        <v>28</v>
      </c>
      <c r="I145" s="3" t="s">
        <v>55</v>
      </c>
      <c r="J145" s="3" t="s">
        <v>56</v>
      </c>
      <c r="K145" s="3" t="s">
        <v>31</v>
      </c>
      <c r="L145" s="3"/>
      <c r="M145" s="3" t="s">
        <v>57</v>
      </c>
      <c r="N145" s="3"/>
      <c r="O145" s="3"/>
      <c r="P145" s="3"/>
      <c r="Q145" s="3"/>
      <c r="R145" s="3"/>
      <c r="S145" s="3"/>
      <c r="T145" s="3"/>
      <c r="U145" s="3">
        <v>715</v>
      </c>
      <c r="V145" s="4">
        <v>43850</v>
      </c>
      <c r="W145" s="3" t="s">
        <v>33</v>
      </c>
      <c r="X145" s="3" t="s">
        <v>745</v>
      </c>
    </row>
    <row r="146" spans="1:24" ht="27.95" x14ac:dyDescent="0.3">
      <c r="A146" s="3">
        <v>140</v>
      </c>
      <c r="B146" s="3" t="str">
        <f>"201600137897"</f>
        <v>201600137897</v>
      </c>
      <c r="C146" s="3">
        <v>124014</v>
      </c>
      <c r="D146" s="3" t="s">
        <v>747</v>
      </c>
      <c r="E146" s="3">
        <v>10339432860</v>
      </c>
      <c r="F146" s="3" t="s">
        <v>748</v>
      </c>
      <c r="G146" s="3" t="s">
        <v>749</v>
      </c>
      <c r="H146" s="3" t="s">
        <v>225</v>
      </c>
      <c r="I146" s="3" t="s">
        <v>750</v>
      </c>
      <c r="J146" s="3" t="s">
        <v>751</v>
      </c>
      <c r="K146" s="3" t="s">
        <v>31</v>
      </c>
      <c r="L146" s="3" t="s">
        <v>752</v>
      </c>
      <c r="M146" s="3" t="s">
        <v>753</v>
      </c>
      <c r="N146" s="3" t="s">
        <v>754</v>
      </c>
      <c r="O146" s="3"/>
      <c r="P146" s="3"/>
      <c r="Q146" s="3"/>
      <c r="R146" s="3"/>
      <c r="S146" s="3"/>
      <c r="T146" s="3"/>
      <c r="U146" s="3">
        <v>330</v>
      </c>
      <c r="V146" s="4">
        <v>42651</v>
      </c>
      <c r="W146" s="3" t="s">
        <v>33</v>
      </c>
      <c r="X146" s="3" t="s">
        <v>748</v>
      </c>
    </row>
    <row r="147" spans="1:24" ht="27.95" x14ac:dyDescent="0.3">
      <c r="A147" s="3">
        <v>141</v>
      </c>
      <c r="B147" s="3" t="str">
        <f>"201200152911"</f>
        <v>201200152911</v>
      </c>
      <c r="C147" s="3">
        <v>61963</v>
      </c>
      <c r="D147" s="3" t="s">
        <v>755</v>
      </c>
      <c r="E147" s="3">
        <v>10251372051</v>
      </c>
      <c r="F147" s="3" t="s">
        <v>756</v>
      </c>
      <c r="G147" s="3" t="s">
        <v>757</v>
      </c>
      <c r="H147" s="3" t="s">
        <v>28</v>
      </c>
      <c r="I147" s="3" t="s">
        <v>174</v>
      </c>
      <c r="J147" s="3" t="s">
        <v>758</v>
      </c>
      <c r="K147" s="3" t="s">
        <v>31</v>
      </c>
      <c r="L147" s="3" t="s">
        <v>485</v>
      </c>
      <c r="M147" s="3" t="s">
        <v>291</v>
      </c>
      <c r="N147" s="3"/>
      <c r="O147" s="3"/>
      <c r="P147" s="3"/>
      <c r="Q147" s="3"/>
      <c r="R147" s="3"/>
      <c r="S147" s="3"/>
      <c r="T147" s="3"/>
      <c r="U147" s="3">
        <v>330</v>
      </c>
      <c r="V147" s="4">
        <v>41128</v>
      </c>
      <c r="W147" s="3" t="s">
        <v>33</v>
      </c>
      <c r="X147" s="3" t="s">
        <v>756</v>
      </c>
    </row>
    <row r="148" spans="1:24" ht="27.95" x14ac:dyDescent="0.3">
      <c r="A148" s="3">
        <v>142</v>
      </c>
      <c r="B148" s="3" t="str">
        <f>"201900023043"</f>
        <v>201900023043</v>
      </c>
      <c r="C148" s="3">
        <v>94642</v>
      </c>
      <c r="D148" s="3" t="s">
        <v>759</v>
      </c>
      <c r="E148" s="3">
        <v>10427665564</v>
      </c>
      <c r="F148" s="3" t="s">
        <v>760</v>
      </c>
      <c r="G148" s="3" t="s">
        <v>761</v>
      </c>
      <c r="H148" s="3" t="s">
        <v>84</v>
      </c>
      <c r="I148" s="3" t="s">
        <v>308</v>
      </c>
      <c r="J148" s="3" t="s">
        <v>309</v>
      </c>
      <c r="K148" s="3" t="s">
        <v>31</v>
      </c>
      <c r="L148" s="3" t="s">
        <v>269</v>
      </c>
      <c r="M148" s="3" t="s">
        <v>95</v>
      </c>
      <c r="N148" s="3"/>
      <c r="O148" s="3"/>
      <c r="P148" s="3"/>
      <c r="Q148" s="3"/>
      <c r="R148" s="3"/>
      <c r="S148" s="3"/>
      <c r="T148" s="3"/>
      <c r="U148" s="3">
        <v>715</v>
      </c>
      <c r="V148" s="4">
        <v>43513</v>
      </c>
      <c r="W148" s="3" t="s">
        <v>33</v>
      </c>
      <c r="X148" s="3" t="s">
        <v>760</v>
      </c>
    </row>
    <row r="149" spans="1:24" ht="27.95" x14ac:dyDescent="0.3">
      <c r="A149" s="3">
        <v>143</v>
      </c>
      <c r="B149" s="3" t="str">
        <f>"201800209390"</f>
        <v>201800209390</v>
      </c>
      <c r="C149" s="3">
        <v>140392</v>
      </c>
      <c r="D149" s="3" t="s">
        <v>762</v>
      </c>
      <c r="E149" s="3">
        <v>20603774036</v>
      </c>
      <c r="F149" s="3" t="s">
        <v>763</v>
      </c>
      <c r="G149" s="3" t="s">
        <v>764</v>
      </c>
      <c r="H149" s="3" t="s">
        <v>571</v>
      </c>
      <c r="I149" s="3" t="s">
        <v>571</v>
      </c>
      <c r="J149" s="3" t="s">
        <v>765</v>
      </c>
      <c r="K149" s="3" t="s">
        <v>31</v>
      </c>
      <c r="L149" s="3"/>
      <c r="M149" s="3"/>
      <c r="N149" s="3"/>
      <c r="O149" s="3" t="s">
        <v>766</v>
      </c>
      <c r="P149" s="3"/>
      <c r="Q149" s="3"/>
      <c r="R149" s="3"/>
      <c r="S149" s="3"/>
      <c r="T149" s="3"/>
      <c r="U149" s="3">
        <v>715</v>
      </c>
      <c r="V149" s="4">
        <v>43451</v>
      </c>
      <c r="W149" s="3" t="s">
        <v>33</v>
      </c>
      <c r="X149" s="3" t="s">
        <v>767</v>
      </c>
    </row>
    <row r="150" spans="1:24" ht="27.95" x14ac:dyDescent="0.3">
      <c r="A150" s="3">
        <v>144</v>
      </c>
      <c r="B150" s="3" t="str">
        <f>"201600031240"</f>
        <v>201600031240</v>
      </c>
      <c r="C150" s="3">
        <v>119521</v>
      </c>
      <c r="D150" s="3" t="s">
        <v>768</v>
      </c>
      <c r="E150" s="3">
        <v>10428931951</v>
      </c>
      <c r="F150" s="3" t="s">
        <v>769</v>
      </c>
      <c r="G150" s="3" t="s">
        <v>770</v>
      </c>
      <c r="H150" s="3" t="s">
        <v>45</v>
      </c>
      <c r="I150" s="3" t="s">
        <v>214</v>
      </c>
      <c r="J150" s="3" t="s">
        <v>321</v>
      </c>
      <c r="K150" s="3" t="s">
        <v>31</v>
      </c>
      <c r="L150" s="3" t="s">
        <v>64</v>
      </c>
      <c r="M150" s="3" t="s">
        <v>182</v>
      </c>
      <c r="N150" s="3"/>
      <c r="O150" s="3"/>
      <c r="P150" s="3"/>
      <c r="Q150" s="3"/>
      <c r="R150" s="3"/>
      <c r="S150" s="3"/>
      <c r="T150" s="3"/>
      <c r="U150" s="3">
        <v>330</v>
      </c>
      <c r="V150" s="4">
        <v>42440</v>
      </c>
      <c r="W150" s="3" t="s">
        <v>33</v>
      </c>
      <c r="X150" s="3" t="s">
        <v>769</v>
      </c>
    </row>
    <row r="151" spans="1:24" ht="27.95" x14ac:dyDescent="0.3">
      <c r="A151" s="3">
        <v>145</v>
      </c>
      <c r="B151" s="3" t="str">
        <f>"202000120079"</f>
        <v>202000120079</v>
      </c>
      <c r="C151" s="3">
        <v>132961</v>
      </c>
      <c r="D151" s="3" t="s">
        <v>771</v>
      </c>
      <c r="E151" s="3">
        <v>10244841771</v>
      </c>
      <c r="F151" s="3" t="s">
        <v>772</v>
      </c>
      <c r="G151" s="3" t="s">
        <v>773</v>
      </c>
      <c r="H151" s="3" t="s">
        <v>28</v>
      </c>
      <c r="I151" s="3" t="s">
        <v>29</v>
      </c>
      <c r="J151" s="3" t="s">
        <v>774</v>
      </c>
      <c r="K151" s="3" t="s">
        <v>31</v>
      </c>
      <c r="L151" s="3" t="s">
        <v>340</v>
      </c>
      <c r="M151" s="3"/>
      <c r="N151" s="3"/>
      <c r="O151" s="3"/>
      <c r="P151" s="3"/>
      <c r="Q151" s="3"/>
      <c r="R151" s="3"/>
      <c r="S151" s="3"/>
      <c r="T151" s="3"/>
      <c r="U151" s="3">
        <v>715</v>
      </c>
      <c r="V151" s="4">
        <v>44083</v>
      </c>
      <c r="W151" s="4">
        <v>44448</v>
      </c>
      <c r="X151" s="3" t="s">
        <v>772</v>
      </c>
    </row>
    <row r="152" spans="1:24" ht="27.95" x14ac:dyDescent="0.3">
      <c r="A152" s="3">
        <v>146</v>
      </c>
      <c r="B152" s="3" t="str">
        <f>"1573965"</f>
        <v>1573965</v>
      </c>
      <c r="C152" s="3">
        <v>41162</v>
      </c>
      <c r="D152" s="3" t="s">
        <v>775</v>
      </c>
      <c r="E152" s="3">
        <v>10008968417</v>
      </c>
      <c r="F152" s="3" t="s">
        <v>776</v>
      </c>
      <c r="G152" s="3" t="s">
        <v>777</v>
      </c>
      <c r="H152" s="3" t="s">
        <v>233</v>
      </c>
      <c r="I152" s="3" t="s">
        <v>274</v>
      </c>
      <c r="J152" s="3" t="s">
        <v>626</v>
      </c>
      <c r="K152" s="3" t="s">
        <v>31</v>
      </c>
      <c r="L152" s="3" t="s">
        <v>50</v>
      </c>
      <c r="M152" s="3" t="s">
        <v>478</v>
      </c>
      <c r="N152" s="3" t="s">
        <v>48</v>
      </c>
      <c r="O152" s="3"/>
      <c r="P152" s="3"/>
      <c r="Q152" s="3"/>
      <c r="R152" s="3"/>
      <c r="S152" s="3"/>
      <c r="T152" s="3"/>
      <c r="U152" s="3">
        <v>853</v>
      </c>
      <c r="V152" s="4">
        <v>38509</v>
      </c>
      <c r="W152" s="3" t="s">
        <v>33</v>
      </c>
      <c r="X152" s="3" t="s">
        <v>778</v>
      </c>
    </row>
    <row r="153" spans="1:24" ht="27.95" x14ac:dyDescent="0.3">
      <c r="A153" s="3">
        <v>147</v>
      </c>
      <c r="B153" s="3" t="str">
        <f>"202000080428"</f>
        <v>202000080428</v>
      </c>
      <c r="C153" s="3">
        <v>106911</v>
      </c>
      <c r="D153" s="3" t="s">
        <v>779</v>
      </c>
      <c r="E153" s="3">
        <v>20601466555</v>
      </c>
      <c r="F153" s="3" t="s">
        <v>780</v>
      </c>
      <c r="G153" s="3" t="s">
        <v>781</v>
      </c>
      <c r="H153" s="3" t="s">
        <v>233</v>
      </c>
      <c r="I153" s="3" t="s">
        <v>233</v>
      </c>
      <c r="J153" s="3" t="s">
        <v>782</v>
      </c>
      <c r="K153" s="3" t="s">
        <v>31</v>
      </c>
      <c r="L153" s="3" t="s">
        <v>783</v>
      </c>
      <c r="M153" s="3"/>
      <c r="N153" s="3"/>
      <c r="O153" s="3"/>
      <c r="P153" s="3"/>
      <c r="Q153" s="3"/>
      <c r="R153" s="3"/>
      <c r="S153" s="3"/>
      <c r="T153" s="3"/>
      <c r="U153" s="3">
        <v>330</v>
      </c>
      <c r="V153" s="4">
        <v>44025</v>
      </c>
      <c r="W153" s="3" t="s">
        <v>33</v>
      </c>
      <c r="X153" s="3" t="s">
        <v>784</v>
      </c>
    </row>
    <row r="154" spans="1:24" ht="27.95" x14ac:dyDescent="0.3">
      <c r="A154" s="3">
        <v>148</v>
      </c>
      <c r="B154" s="3" t="str">
        <f>"201300145378"</f>
        <v>201300145378</v>
      </c>
      <c r="C154" s="3">
        <v>105189</v>
      </c>
      <c r="D154" s="3" t="s">
        <v>785</v>
      </c>
      <c r="E154" s="3">
        <v>10176059406</v>
      </c>
      <c r="F154" s="3" t="s">
        <v>786</v>
      </c>
      <c r="G154" s="3" t="s">
        <v>787</v>
      </c>
      <c r="H154" s="3" t="s">
        <v>788</v>
      </c>
      <c r="I154" s="3" t="s">
        <v>789</v>
      </c>
      <c r="J154" s="3" t="s">
        <v>790</v>
      </c>
      <c r="K154" s="3" t="s">
        <v>31</v>
      </c>
      <c r="L154" s="3" t="s">
        <v>39</v>
      </c>
      <c r="M154" s="3" t="s">
        <v>40</v>
      </c>
      <c r="N154" s="3" t="s">
        <v>791</v>
      </c>
      <c r="O154" s="3"/>
      <c r="P154" s="3"/>
      <c r="Q154" s="3"/>
      <c r="R154" s="3"/>
      <c r="S154" s="3"/>
      <c r="T154" s="3"/>
      <c r="U154" s="3">
        <v>275</v>
      </c>
      <c r="V154" s="4">
        <v>41533</v>
      </c>
      <c r="W154" s="3" t="s">
        <v>33</v>
      </c>
      <c r="X154" s="3" t="s">
        <v>786</v>
      </c>
    </row>
    <row r="155" spans="1:24" ht="27.95" x14ac:dyDescent="0.3">
      <c r="A155" s="3">
        <v>149</v>
      </c>
      <c r="B155" s="3" t="str">
        <f>"1277614"</f>
        <v>1277614</v>
      </c>
      <c r="C155" s="3">
        <v>18481</v>
      </c>
      <c r="D155" s="3" t="s">
        <v>792</v>
      </c>
      <c r="E155" s="3">
        <v>10018512314</v>
      </c>
      <c r="F155" s="3" t="s">
        <v>793</v>
      </c>
      <c r="G155" s="3" t="s">
        <v>794</v>
      </c>
      <c r="H155" s="3" t="s">
        <v>45</v>
      </c>
      <c r="I155" s="3" t="s">
        <v>440</v>
      </c>
      <c r="J155" s="3" t="s">
        <v>795</v>
      </c>
      <c r="K155" s="3" t="s">
        <v>31</v>
      </c>
      <c r="L155" s="3" t="s">
        <v>50</v>
      </c>
      <c r="M155" s="3" t="s">
        <v>49</v>
      </c>
      <c r="N155" s="3" t="s">
        <v>48</v>
      </c>
      <c r="O155" s="3"/>
      <c r="P155" s="3"/>
      <c r="Q155" s="3"/>
      <c r="R155" s="3"/>
      <c r="S155" s="3"/>
      <c r="T155" s="3"/>
      <c r="U155" s="3">
        <v>440</v>
      </c>
      <c r="V155" s="4">
        <v>36591</v>
      </c>
      <c r="W155" s="3" t="s">
        <v>33</v>
      </c>
      <c r="X155" s="3" t="s">
        <v>796</v>
      </c>
    </row>
    <row r="156" spans="1:24" ht="27.95" x14ac:dyDescent="0.3">
      <c r="A156" s="3">
        <v>150</v>
      </c>
      <c r="B156" s="3" t="str">
        <f>"1516789"</f>
        <v>1516789</v>
      </c>
      <c r="C156" s="3">
        <v>36813</v>
      </c>
      <c r="D156" s="3" t="s">
        <v>797</v>
      </c>
      <c r="E156" s="3">
        <v>10335842575</v>
      </c>
      <c r="F156" s="3" t="s">
        <v>798</v>
      </c>
      <c r="G156" s="3" t="s">
        <v>799</v>
      </c>
      <c r="H156" s="3" t="s">
        <v>225</v>
      </c>
      <c r="I156" s="3" t="s">
        <v>268</v>
      </c>
      <c r="J156" s="3" t="s">
        <v>268</v>
      </c>
      <c r="K156" s="3" t="s">
        <v>31</v>
      </c>
      <c r="L156" s="3" t="s">
        <v>108</v>
      </c>
      <c r="M156" s="3" t="s">
        <v>50</v>
      </c>
      <c r="N156" s="3" t="s">
        <v>800</v>
      </c>
      <c r="O156" s="3"/>
      <c r="P156" s="3"/>
      <c r="Q156" s="3"/>
      <c r="R156" s="3"/>
      <c r="S156" s="3"/>
      <c r="T156" s="3"/>
      <c r="U156" s="3">
        <v>660</v>
      </c>
      <c r="V156" s="4">
        <v>38398</v>
      </c>
      <c r="W156" s="3" t="s">
        <v>33</v>
      </c>
      <c r="X156" s="3" t="s">
        <v>801</v>
      </c>
    </row>
    <row r="157" spans="1:24" ht="27.95" x14ac:dyDescent="0.3">
      <c r="A157" s="3">
        <v>151</v>
      </c>
      <c r="B157" s="3" t="str">
        <f>"201800150962"</f>
        <v>201800150962</v>
      </c>
      <c r="C157" s="3">
        <v>42417</v>
      </c>
      <c r="D157" s="3" t="s">
        <v>802</v>
      </c>
      <c r="E157" s="3">
        <v>10027822512</v>
      </c>
      <c r="F157" s="3" t="s">
        <v>803</v>
      </c>
      <c r="G157" s="3" t="s">
        <v>804</v>
      </c>
      <c r="H157" s="3" t="s">
        <v>344</v>
      </c>
      <c r="I157" s="3" t="s">
        <v>344</v>
      </c>
      <c r="J157" s="3" t="s">
        <v>805</v>
      </c>
      <c r="K157" s="3" t="s">
        <v>31</v>
      </c>
      <c r="L157" s="3"/>
      <c r="M157" s="3"/>
      <c r="N157" s="3"/>
      <c r="O157" s="3" t="s">
        <v>806</v>
      </c>
      <c r="P157" s="3"/>
      <c r="Q157" s="3"/>
      <c r="R157" s="3"/>
      <c r="S157" s="3"/>
      <c r="T157" s="3"/>
      <c r="U157" s="3">
        <v>330</v>
      </c>
      <c r="V157" s="4">
        <v>43360</v>
      </c>
      <c r="W157" s="3" t="s">
        <v>33</v>
      </c>
      <c r="X157" s="3" t="s">
        <v>803</v>
      </c>
    </row>
    <row r="158" spans="1:24" ht="41.95" x14ac:dyDescent="0.3">
      <c r="A158" s="3">
        <v>152</v>
      </c>
      <c r="B158" s="3" t="str">
        <f>"202000106761"</f>
        <v>202000106761</v>
      </c>
      <c r="C158" s="3">
        <v>150672</v>
      </c>
      <c r="D158" s="3" t="s">
        <v>807</v>
      </c>
      <c r="E158" s="3">
        <v>10465946291</v>
      </c>
      <c r="F158" s="3" t="s">
        <v>808</v>
      </c>
      <c r="G158" s="3" t="s">
        <v>809</v>
      </c>
      <c r="H158" s="3" t="s">
        <v>92</v>
      </c>
      <c r="I158" s="3" t="s">
        <v>655</v>
      </c>
      <c r="J158" s="3" t="s">
        <v>656</v>
      </c>
      <c r="K158" s="3" t="s">
        <v>31</v>
      </c>
      <c r="L158" s="3" t="s">
        <v>115</v>
      </c>
      <c r="M158" s="3"/>
      <c r="N158" s="3"/>
      <c r="O158" s="3"/>
      <c r="P158" s="3"/>
      <c r="Q158" s="3"/>
      <c r="R158" s="3"/>
      <c r="S158" s="3"/>
      <c r="T158" s="3"/>
      <c r="U158" s="3">
        <v>715</v>
      </c>
      <c r="V158" s="4">
        <v>44101</v>
      </c>
      <c r="W158" s="3" t="s">
        <v>33</v>
      </c>
      <c r="X158" s="3" t="s">
        <v>808</v>
      </c>
    </row>
    <row r="159" spans="1:24" ht="27.95" x14ac:dyDescent="0.3">
      <c r="A159" s="3">
        <v>153</v>
      </c>
      <c r="B159" s="3" t="str">
        <f>"201300102483"</f>
        <v>201300102483</v>
      </c>
      <c r="C159" s="3">
        <v>103120</v>
      </c>
      <c r="D159" s="3" t="s">
        <v>810</v>
      </c>
      <c r="E159" s="3">
        <v>10803192613</v>
      </c>
      <c r="F159" s="3" t="s">
        <v>811</v>
      </c>
      <c r="G159" s="3" t="s">
        <v>812</v>
      </c>
      <c r="H159" s="3" t="s">
        <v>194</v>
      </c>
      <c r="I159" s="3" t="s">
        <v>813</v>
      </c>
      <c r="J159" s="3" t="s">
        <v>813</v>
      </c>
      <c r="K159" s="3" t="s">
        <v>31</v>
      </c>
      <c r="L159" s="3" t="s">
        <v>814</v>
      </c>
      <c r="M159" s="3"/>
      <c r="N159" s="3"/>
      <c r="O159" s="3"/>
      <c r="P159" s="3"/>
      <c r="Q159" s="3"/>
      <c r="R159" s="3"/>
      <c r="S159" s="3"/>
      <c r="T159" s="3"/>
      <c r="U159" s="3">
        <v>330</v>
      </c>
      <c r="V159" s="4">
        <v>41430</v>
      </c>
      <c r="W159" s="3" t="s">
        <v>33</v>
      </c>
      <c r="X159" s="3" t="s">
        <v>811</v>
      </c>
    </row>
    <row r="160" spans="1:24" ht="27.95" x14ac:dyDescent="0.3">
      <c r="A160" s="3">
        <v>154</v>
      </c>
      <c r="B160" s="3" t="str">
        <f>"201200040910"</f>
        <v>201200040910</v>
      </c>
      <c r="C160" s="3">
        <v>88166</v>
      </c>
      <c r="D160" s="3" t="s">
        <v>815</v>
      </c>
      <c r="E160" s="3">
        <v>10011607336</v>
      </c>
      <c r="F160" s="3" t="s">
        <v>816</v>
      </c>
      <c r="G160" s="3" t="s">
        <v>817</v>
      </c>
      <c r="H160" s="3" t="s">
        <v>233</v>
      </c>
      <c r="I160" s="3" t="s">
        <v>559</v>
      </c>
      <c r="J160" s="3" t="s">
        <v>818</v>
      </c>
      <c r="K160" s="3" t="s">
        <v>31</v>
      </c>
      <c r="L160" s="3" t="s">
        <v>819</v>
      </c>
      <c r="M160" s="3"/>
      <c r="N160" s="3" t="s">
        <v>820</v>
      </c>
      <c r="O160" s="3"/>
      <c r="P160" s="3" t="s">
        <v>821</v>
      </c>
      <c r="Q160" s="3"/>
      <c r="R160" s="3"/>
      <c r="S160" s="3"/>
      <c r="T160" s="3"/>
      <c r="U160" s="3">
        <v>342</v>
      </c>
      <c r="V160" s="4">
        <v>40991</v>
      </c>
      <c r="W160" s="3" t="s">
        <v>33</v>
      </c>
      <c r="X160" s="3" t="s">
        <v>816</v>
      </c>
    </row>
    <row r="161" spans="1:24" ht="27.95" x14ac:dyDescent="0.3">
      <c r="A161" s="3">
        <v>155</v>
      </c>
      <c r="B161" s="3" t="str">
        <f>"201700220250"</f>
        <v>201700220250</v>
      </c>
      <c r="C161" s="3">
        <v>40812</v>
      </c>
      <c r="D161" s="3" t="s">
        <v>822</v>
      </c>
      <c r="E161" s="3">
        <v>10016915811</v>
      </c>
      <c r="F161" s="3" t="s">
        <v>823</v>
      </c>
      <c r="G161" s="3" t="s">
        <v>824</v>
      </c>
      <c r="H161" s="3" t="s">
        <v>45</v>
      </c>
      <c r="I161" s="3" t="s">
        <v>119</v>
      </c>
      <c r="J161" s="3" t="s">
        <v>825</v>
      </c>
      <c r="K161" s="3" t="s">
        <v>31</v>
      </c>
      <c r="L161" s="3"/>
      <c r="M161" s="3"/>
      <c r="N161" s="3" t="s">
        <v>826</v>
      </c>
      <c r="O161" s="3" t="s">
        <v>236</v>
      </c>
      <c r="P161" s="3"/>
      <c r="Q161" s="3"/>
      <c r="R161" s="3"/>
      <c r="S161" s="3"/>
      <c r="T161" s="3"/>
      <c r="U161" s="3">
        <v>715</v>
      </c>
      <c r="V161" s="4">
        <v>43108</v>
      </c>
      <c r="W161" s="3" t="s">
        <v>33</v>
      </c>
      <c r="X161" s="3" t="s">
        <v>823</v>
      </c>
    </row>
    <row r="162" spans="1:24" ht="27.95" x14ac:dyDescent="0.3">
      <c r="A162" s="3">
        <v>156</v>
      </c>
      <c r="B162" s="3" t="str">
        <f>"201600058309"</f>
        <v>201600058309</v>
      </c>
      <c r="C162" s="3">
        <v>118046</v>
      </c>
      <c r="D162" s="3" t="s">
        <v>827</v>
      </c>
      <c r="E162" s="3">
        <v>10454059064</v>
      </c>
      <c r="F162" s="3" t="s">
        <v>828</v>
      </c>
      <c r="G162" s="3" t="s">
        <v>829</v>
      </c>
      <c r="H162" s="3" t="s">
        <v>233</v>
      </c>
      <c r="I162" s="3" t="s">
        <v>234</v>
      </c>
      <c r="J162" s="3" t="s">
        <v>234</v>
      </c>
      <c r="K162" s="3" t="s">
        <v>31</v>
      </c>
      <c r="L162" s="3" t="s">
        <v>830</v>
      </c>
      <c r="M162" s="3"/>
      <c r="N162" s="3"/>
      <c r="O162" s="3"/>
      <c r="P162" s="3"/>
      <c r="Q162" s="3"/>
      <c r="R162" s="3"/>
      <c r="S162" s="3"/>
      <c r="T162" s="3"/>
      <c r="U162" s="3">
        <v>330</v>
      </c>
      <c r="V162" s="4">
        <v>42492</v>
      </c>
      <c r="W162" s="3" t="s">
        <v>33</v>
      </c>
      <c r="X162" s="3" t="s">
        <v>828</v>
      </c>
    </row>
    <row r="163" spans="1:24" ht="27.95" x14ac:dyDescent="0.3">
      <c r="A163" s="3">
        <v>157</v>
      </c>
      <c r="B163" s="3" t="str">
        <f>"201700201461"</f>
        <v>201700201461</v>
      </c>
      <c r="C163" s="3">
        <v>133136</v>
      </c>
      <c r="D163" s="3" t="s">
        <v>831</v>
      </c>
      <c r="E163" s="3">
        <v>10009234441</v>
      </c>
      <c r="F163" s="3" t="s">
        <v>832</v>
      </c>
      <c r="G163" s="3" t="s">
        <v>833</v>
      </c>
      <c r="H163" s="3" t="s">
        <v>233</v>
      </c>
      <c r="I163" s="3" t="s">
        <v>274</v>
      </c>
      <c r="J163" s="3" t="s">
        <v>834</v>
      </c>
      <c r="K163" s="3" t="s">
        <v>31</v>
      </c>
      <c r="L163" s="3"/>
      <c r="M163" s="3"/>
      <c r="N163" s="3" t="s">
        <v>50</v>
      </c>
      <c r="O163" s="3" t="s">
        <v>264</v>
      </c>
      <c r="P163" s="3" t="s">
        <v>835</v>
      </c>
      <c r="Q163" s="3"/>
      <c r="R163" s="3"/>
      <c r="S163" s="3"/>
      <c r="T163" s="3"/>
      <c r="U163" s="3">
        <v>165</v>
      </c>
      <c r="V163" s="4">
        <v>43069</v>
      </c>
      <c r="W163" s="3" t="s">
        <v>33</v>
      </c>
      <c r="X163" s="3" t="s">
        <v>832</v>
      </c>
    </row>
    <row r="164" spans="1:24" ht="27.95" x14ac:dyDescent="0.3">
      <c r="A164" s="3">
        <v>158</v>
      </c>
      <c r="B164" s="3" t="str">
        <f>"201800199088"</f>
        <v>201800199088</v>
      </c>
      <c r="C164" s="3">
        <v>130687</v>
      </c>
      <c r="D164" s="3" t="s">
        <v>836</v>
      </c>
      <c r="E164" s="3">
        <v>10422932432</v>
      </c>
      <c r="F164" s="3" t="s">
        <v>837</v>
      </c>
      <c r="G164" s="3" t="s">
        <v>838</v>
      </c>
      <c r="H164" s="3" t="s">
        <v>73</v>
      </c>
      <c r="I164" s="3" t="s">
        <v>674</v>
      </c>
      <c r="J164" s="3" t="s">
        <v>675</v>
      </c>
      <c r="K164" s="3" t="s">
        <v>31</v>
      </c>
      <c r="L164" s="3" t="s">
        <v>839</v>
      </c>
      <c r="M164" s="3"/>
      <c r="N164" s="3"/>
      <c r="O164" s="3"/>
      <c r="P164" s="3"/>
      <c r="Q164" s="3"/>
      <c r="R164" s="3"/>
      <c r="S164" s="3"/>
      <c r="T164" s="3"/>
      <c r="U164" s="3">
        <v>330</v>
      </c>
      <c r="V164" s="4">
        <v>43439</v>
      </c>
      <c r="W164" s="3" t="s">
        <v>33</v>
      </c>
      <c r="X164" s="3" t="s">
        <v>837</v>
      </c>
    </row>
    <row r="165" spans="1:24" ht="27.95" x14ac:dyDescent="0.3">
      <c r="A165" s="3">
        <v>159</v>
      </c>
      <c r="B165" s="3" t="str">
        <f>"201800047933"</f>
        <v>201800047933</v>
      </c>
      <c r="C165" s="3">
        <v>127146</v>
      </c>
      <c r="D165" s="3" t="s">
        <v>840</v>
      </c>
      <c r="E165" s="3">
        <v>10333458336</v>
      </c>
      <c r="F165" s="3" t="s">
        <v>841</v>
      </c>
      <c r="G165" s="3" t="s">
        <v>842</v>
      </c>
      <c r="H165" s="3" t="s">
        <v>514</v>
      </c>
      <c r="I165" s="3" t="s">
        <v>515</v>
      </c>
      <c r="J165" s="3" t="s">
        <v>843</v>
      </c>
      <c r="K165" s="3" t="s">
        <v>31</v>
      </c>
      <c r="L165" s="3" t="s">
        <v>181</v>
      </c>
      <c r="M165" s="3" t="s">
        <v>65</v>
      </c>
      <c r="N165" s="3"/>
      <c r="O165" s="3"/>
      <c r="P165" s="3"/>
      <c r="Q165" s="3"/>
      <c r="R165" s="3"/>
      <c r="S165" s="3"/>
      <c r="T165" s="3"/>
      <c r="U165" s="3">
        <v>330</v>
      </c>
      <c r="V165" s="4">
        <v>43180</v>
      </c>
      <c r="W165" s="3" t="s">
        <v>33</v>
      </c>
      <c r="X165" s="3" t="s">
        <v>841</v>
      </c>
    </row>
    <row r="166" spans="1:24" ht="27.95" x14ac:dyDescent="0.3">
      <c r="A166" s="3">
        <v>160</v>
      </c>
      <c r="B166" s="3" t="str">
        <f>"201800204703"</f>
        <v>201800204703</v>
      </c>
      <c r="C166" s="3">
        <v>140260</v>
      </c>
      <c r="D166" s="3" t="s">
        <v>844</v>
      </c>
      <c r="E166" s="3">
        <v>20448304265</v>
      </c>
      <c r="F166" s="3" t="s">
        <v>845</v>
      </c>
      <c r="G166" s="3" t="s">
        <v>846</v>
      </c>
      <c r="H166" s="3" t="s">
        <v>45</v>
      </c>
      <c r="I166" s="3" t="s">
        <v>252</v>
      </c>
      <c r="J166" s="3" t="s">
        <v>847</v>
      </c>
      <c r="K166" s="3" t="s">
        <v>31</v>
      </c>
      <c r="L166" s="3" t="s">
        <v>340</v>
      </c>
      <c r="M166" s="3"/>
      <c r="N166" s="3"/>
      <c r="O166" s="3"/>
      <c r="P166" s="3"/>
      <c r="Q166" s="3"/>
      <c r="R166" s="3"/>
      <c r="S166" s="3"/>
      <c r="T166" s="3"/>
      <c r="U166" s="3">
        <v>715</v>
      </c>
      <c r="V166" s="4">
        <v>43444</v>
      </c>
      <c r="W166" s="3" t="s">
        <v>33</v>
      </c>
      <c r="X166" s="3" t="s">
        <v>848</v>
      </c>
    </row>
    <row r="167" spans="1:24" ht="27.95" x14ac:dyDescent="0.3">
      <c r="A167" s="3">
        <v>161</v>
      </c>
      <c r="B167" s="3" t="str">
        <f>"201800043869"</f>
        <v>201800043869</v>
      </c>
      <c r="C167" s="3">
        <v>135069</v>
      </c>
      <c r="D167" s="3" t="s">
        <v>849</v>
      </c>
      <c r="E167" s="3">
        <v>10272962311</v>
      </c>
      <c r="F167" s="3" t="s">
        <v>850</v>
      </c>
      <c r="G167" s="3" t="s">
        <v>851</v>
      </c>
      <c r="H167" s="3" t="s">
        <v>225</v>
      </c>
      <c r="I167" s="3" t="s">
        <v>852</v>
      </c>
      <c r="J167" s="3" t="s">
        <v>853</v>
      </c>
      <c r="K167" s="3" t="s">
        <v>31</v>
      </c>
      <c r="L167" s="3" t="s">
        <v>854</v>
      </c>
      <c r="M167" s="3"/>
      <c r="N167" s="3"/>
      <c r="O167" s="3"/>
      <c r="P167" s="3"/>
      <c r="Q167" s="3"/>
      <c r="R167" s="3"/>
      <c r="S167" s="3"/>
      <c r="T167" s="3"/>
      <c r="U167" s="3">
        <v>715</v>
      </c>
      <c r="V167" s="4">
        <v>43186</v>
      </c>
      <c r="W167" s="3" t="s">
        <v>33</v>
      </c>
      <c r="X167" s="3" t="s">
        <v>850</v>
      </c>
    </row>
    <row r="168" spans="1:24" ht="27.95" x14ac:dyDescent="0.3">
      <c r="A168" s="3">
        <v>162</v>
      </c>
      <c r="B168" s="3" t="str">
        <f>"201600135506"</f>
        <v>201600135506</v>
      </c>
      <c r="C168" s="3">
        <v>123931</v>
      </c>
      <c r="D168" s="3" t="s">
        <v>855</v>
      </c>
      <c r="E168" s="3">
        <v>10450238746</v>
      </c>
      <c r="F168" s="3" t="s">
        <v>856</v>
      </c>
      <c r="G168" s="3" t="s">
        <v>857</v>
      </c>
      <c r="H168" s="3" t="s">
        <v>233</v>
      </c>
      <c r="I168" s="3" t="s">
        <v>637</v>
      </c>
      <c r="J168" s="3" t="s">
        <v>858</v>
      </c>
      <c r="K168" s="3" t="s">
        <v>31</v>
      </c>
      <c r="L168" s="3" t="s">
        <v>693</v>
      </c>
      <c r="M168" s="3" t="s">
        <v>506</v>
      </c>
      <c r="N168" s="3"/>
      <c r="O168" s="3"/>
      <c r="P168" s="3"/>
      <c r="Q168" s="3"/>
      <c r="R168" s="3"/>
      <c r="S168" s="3"/>
      <c r="T168" s="3"/>
      <c r="U168" s="3">
        <v>330</v>
      </c>
      <c r="V168" s="4">
        <v>42632</v>
      </c>
      <c r="W168" s="3" t="s">
        <v>33</v>
      </c>
      <c r="X168" s="3" t="s">
        <v>856</v>
      </c>
    </row>
    <row r="169" spans="1:24" ht="27.95" x14ac:dyDescent="0.3">
      <c r="A169" s="3">
        <v>163</v>
      </c>
      <c r="B169" s="3" t="str">
        <f>"1418384"</f>
        <v>1418384</v>
      </c>
      <c r="C169" s="3">
        <v>34904</v>
      </c>
      <c r="D169" s="3" t="s">
        <v>859</v>
      </c>
      <c r="E169" s="3">
        <v>20280394093</v>
      </c>
      <c r="F169" s="3" t="s">
        <v>860</v>
      </c>
      <c r="G169" s="3" t="s">
        <v>861</v>
      </c>
      <c r="H169" s="3" t="s">
        <v>84</v>
      </c>
      <c r="I169" s="3" t="s">
        <v>85</v>
      </c>
      <c r="J169" s="3" t="s">
        <v>241</v>
      </c>
      <c r="K169" s="3" t="s">
        <v>31</v>
      </c>
      <c r="L169" s="3" t="s">
        <v>50</v>
      </c>
      <c r="M169" s="3" t="s">
        <v>108</v>
      </c>
      <c r="N169" s="3" t="s">
        <v>800</v>
      </c>
      <c r="O169" s="3"/>
      <c r="P169" s="3"/>
      <c r="Q169" s="3"/>
      <c r="R169" s="3"/>
      <c r="S169" s="3"/>
      <c r="T169" s="3"/>
      <c r="U169" s="3">
        <v>684</v>
      </c>
      <c r="V169" s="4">
        <v>37799</v>
      </c>
      <c r="W169" s="3" t="s">
        <v>33</v>
      </c>
      <c r="X169" s="3" t="s">
        <v>862</v>
      </c>
    </row>
    <row r="170" spans="1:24" ht="27.95" x14ac:dyDescent="0.3">
      <c r="A170" s="3">
        <v>164</v>
      </c>
      <c r="B170" s="3" t="str">
        <f>"201200166203"</f>
        <v>201200166203</v>
      </c>
      <c r="C170" s="3">
        <v>96642</v>
      </c>
      <c r="D170" s="3" t="s">
        <v>863</v>
      </c>
      <c r="E170" s="3">
        <v>10416940245</v>
      </c>
      <c r="F170" s="3" t="s">
        <v>864</v>
      </c>
      <c r="G170" s="3" t="s">
        <v>865</v>
      </c>
      <c r="H170" s="3" t="s">
        <v>225</v>
      </c>
      <c r="I170" s="3" t="s">
        <v>866</v>
      </c>
      <c r="J170" s="3" t="s">
        <v>867</v>
      </c>
      <c r="K170" s="3" t="s">
        <v>31</v>
      </c>
      <c r="L170" s="3"/>
      <c r="M170" s="3"/>
      <c r="N170" s="3"/>
      <c r="O170" s="3"/>
      <c r="P170" s="3"/>
      <c r="Q170" s="3"/>
      <c r="R170" s="3"/>
      <c r="S170" s="3"/>
      <c r="T170" s="3"/>
      <c r="U170" s="3">
        <v>330</v>
      </c>
      <c r="V170" s="4">
        <v>41156</v>
      </c>
      <c r="W170" s="3" t="s">
        <v>33</v>
      </c>
      <c r="X170" s="3" t="s">
        <v>864</v>
      </c>
    </row>
    <row r="171" spans="1:24" ht="27.95" x14ac:dyDescent="0.3">
      <c r="A171" s="3">
        <v>165</v>
      </c>
      <c r="B171" s="3" t="str">
        <f>"201800035533"</f>
        <v>201800035533</v>
      </c>
      <c r="C171" s="3">
        <v>134814</v>
      </c>
      <c r="D171" s="3" t="s">
        <v>868</v>
      </c>
      <c r="E171" s="3">
        <v>10412845779</v>
      </c>
      <c r="F171" s="3" t="s">
        <v>869</v>
      </c>
      <c r="G171" s="3" t="s">
        <v>870</v>
      </c>
      <c r="H171" s="3" t="s">
        <v>514</v>
      </c>
      <c r="I171" s="3" t="s">
        <v>532</v>
      </c>
      <c r="J171" s="3" t="s">
        <v>871</v>
      </c>
      <c r="K171" s="3" t="s">
        <v>31</v>
      </c>
      <c r="L171" s="3" t="s">
        <v>236</v>
      </c>
      <c r="M171" s="3" t="s">
        <v>644</v>
      </c>
      <c r="N171" s="3"/>
      <c r="O171" s="3"/>
      <c r="P171" s="3"/>
      <c r="Q171" s="3"/>
      <c r="R171" s="3"/>
      <c r="S171" s="3"/>
      <c r="T171" s="3"/>
      <c r="U171" s="3">
        <v>715</v>
      </c>
      <c r="V171" s="4">
        <v>43165</v>
      </c>
      <c r="W171" s="3" t="s">
        <v>33</v>
      </c>
      <c r="X171" s="3" t="s">
        <v>869</v>
      </c>
    </row>
    <row r="172" spans="1:24" ht="27.95" x14ac:dyDescent="0.3">
      <c r="A172" s="3">
        <v>166</v>
      </c>
      <c r="B172" s="3" t="str">
        <f>"202000115234"</f>
        <v>202000115234</v>
      </c>
      <c r="C172" s="3">
        <v>82852</v>
      </c>
      <c r="D172" s="3" t="s">
        <v>872</v>
      </c>
      <c r="E172" s="3">
        <v>10098008280</v>
      </c>
      <c r="F172" s="3" t="s">
        <v>873</v>
      </c>
      <c r="G172" s="3" t="s">
        <v>874</v>
      </c>
      <c r="H172" s="3" t="s">
        <v>233</v>
      </c>
      <c r="I172" s="3" t="s">
        <v>274</v>
      </c>
      <c r="J172" s="3" t="s">
        <v>274</v>
      </c>
      <c r="K172" s="3" t="s">
        <v>31</v>
      </c>
      <c r="L172" s="3" t="s">
        <v>264</v>
      </c>
      <c r="M172" s="3" t="s">
        <v>181</v>
      </c>
      <c r="N172" s="3" t="s">
        <v>50</v>
      </c>
      <c r="O172" s="3"/>
      <c r="P172" s="3"/>
      <c r="Q172" s="3"/>
      <c r="R172" s="3"/>
      <c r="S172" s="3"/>
      <c r="T172" s="3"/>
      <c r="U172" s="3">
        <v>330</v>
      </c>
      <c r="V172" s="4">
        <v>44093</v>
      </c>
      <c r="W172" s="3" t="s">
        <v>33</v>
      </c>
      <c r="X172" s="3" t="s">
        <v>873</v>
      </c>
    </row>
    <row r="173" spans="1:24" ht="27.95" x14ac:dyDescent="0.3">
      <c r="A173" s="3">
        <v>167</v>
      </c>
      <c r="B173" s="3" t="str">
        <f>"202000031765"</f>
        <v>202000031765</v>
      </c>
      <c r="C173" s="3">
        <v>149291</v>
      </c>
      <c r="D173" s="3" t="s">
        <v>875</v>
      </c>
      <c r="E173" s="3">
        <v>20604730059</v>
      </c>
      <c r="F173" s="3" t="s">
        <v>876</v>
      </c>
      <c r="G173" s="3" t="s">
        <v>877</v>
      </c>
      <c r="H173" s="3" t="s">
        <v>92</v>
      </c>
      <c r="I173" s="3" t="s">
        <v>246</v>
      </c>
      <c r="J173" s="3" t="s">
        <v>247</v>
      </c>
      <c r="K173" s="3" t="s">
        <v>31</v>
      </c>
      <c r="L173" s="3" t="s">
        <v>115</v>
      </c>
      <c r="M173" s="3"/>
      <c r="N173" s="3"/>
      <c r="O173" s="3"/>
      <c r="P173" s="3"/>
      <c r="Q173" s="3"/>
      <c r="R173" s="3"/>
      <c r="S173" s="3"/>
      <c r="T173" s="3"/>
      <c r="U173" s="3">
        <v>715</v>
      </c>
      <c r="V173" s="4">
        <v>43889</v>
      </c>
      <c r="W173" s="3" t="s">
        <v>33</v>
      </c>
      <c r="X173" s="3" t="s">
        <v>878</v>
      </c>
    </row>
    <row r="174" spans="1:24" ht="27.95" x14ac:dyDescent="0.3">
      <c r="A174" s="3">
        <v>168</v>
      </c>
      <c r="B174" s="3" t="str">
        <f>"201800183079"</f>
        <v>201800183079</v>
      </c>
      <c r="C174" s="3">
        <v>139467</v>
      </c>
      <c r="D174" s="3" t="s">
        <v>879</v>
      </c>
      <c r="E174" s="3">
        <v>20603148330</v>
      </c>
      <c r="F174" s="3" t="s">
        <v>880</v>
      </c>
      <c r="G174" s="3" t="s">
        <v>881</v>
      </c>
      <c r="H174" s="3" t="s">
        <v>150</v>
      </c>
      <c r="I174" s="3" t="s">
        <v>882</v>
      </c>
      <c r="J174" s="3" t="s">
        <v>883</v>
      </c>
      <c r="K174" s="3" t="s">
        <v>31</v>
      </c>
      <c r="L174" s="3" t="s">
        <v>839</v>
      </c>
      <c r="M174" s="3"/>
      <c r="N174" s="3"/>
      <c r="O174" s="3"/>
      <c r="P174" s="3"/>
      <c r="Q174" s="3"/>
      <c r="R174" s="3"/>
      <c r="S174" s="3"/>
      <c r="T174" s="3"/>
      <c r="U174" s="3">
        <v>330</v>
      </c>
      <c r="V174" s="4">
        <v>43408</v>
      </c>
      <c r="W174" s="3" t="s">
        <v>33</v>
      </c>
      <c r="X174" s="3" t="s">
        <v>884</v>
      </c>
    </row>
    <row r="175" spans="1:24" ht="27.95" x14ac:dyDescent="0.3">
      <c r="A175" s="3">
        <v>169</v>
      </c>
      <c r="B175" s="3" t="str">
        <f>"202000096695"</f>
        <v>202000096695</v>
      </c>
      <c r="C175" s="3">
        <v>111281</v>
      </c>
      <c r="D175" s="3" t="s">
        <v>885</v>
      </c>
      <c r="E175" s="3">
        <v>10008509935</v>
      </c>
      <c r="F175" s="3" t="s">
        <v>886</v>
      </c>
      <c r="G175" s="3" t="s">
        <v>887</v>
      </c>
      <c r="H175" s="3" t="s">
        <v>233</v>
      </c>
      <c r="I175" s="3" t="s">
        <v>637</v>
      </c>
      <c r="J175" s="3" t="s">
        <v>888</v>
      </c>
      <c r="K175" s="3" t="s">
        <v>31</v>
      </c>
      <c r="L175" s="3" t="s">
        <v>889</v>
      </c>
      <c r="M175" s="3" t="s">
        <v>87</v>
      </c>
      <c r="N175" s="3" t="s">
        <v>264</v>
      </c>
      <c r="O175" s="3"/>
      <c r="P175" s="3"/>
      <c r="Q175" s="3"/>
      <c r="R175" s="3"/>
      <c r="S175" s="3"/>
      <c r="T175" s="3"/>
      <c r="U175" s="3">
        <v>330</v>
      </c>
      <c r="V175" s="4">
        <v>44050</v>
      </c>
      <c r="W175" s="3" t="s">
        <v>33</v>
      </c>
      <c r="X175" s="3" t="s">
        <v>886</v>
      </c>
    </row>
    <row r="176" spans="1:24" ht="27.95" x14ac:dyDescent="0.3">
      <c r="A176" s="3">
        <v>170</v>
      </c>
      <c r="B176" s="3" t="str">
        <f>"201800193375"</f>
        <v>201800193375</v>
      </c>
      <c r="C176" s="3">
        <v>132141</v>
      </c>
      <c r="D176" s="3" t="s">
        <v>890</v>
      </c>
      <c r="E176" s="3">
        <v>20490529528</v>
      </c>
      <c r="F176" s="3" t="s">
        <v>891</v>
      </c>
      <c r="G176" s="3" t="s">
        <v>892</v>
      </c>
      <c r="H176" s="3" t="s">
        <v>28</v>
      </c>
      <c r="I176" s="3" t="s">
        <v>29</v>
      </c>
      <c r="J176" s="3" t="s">
        <v>893</v>
      </c>
      <c r="K176" s="3" t="s">
        <v>31</v>
      </c>
      <c r="L176" s="3" t="s">
        <v>57</v>
      </c>
      <c r="M176" s="3"/>
      <c r="N176" s="3"/>
      <c r="O176" s="3"/>
      <c r="P176" s="3"/>
      <c r="Q176" s="3"/>
      <c r="R176" s="3"/>
      <c r="S176" s="3"/>
      <c r="T176" s="3"/>
      <c r="U176" s="3">
        <v>715</v>
      </c>
      <c r="V176" s="4">
        <v>43829</v>
      </c>
      <c r="W176" s="3" t="s">
        <v>33</v>
      </c>
      <c r="X176" s="3" t="s">
        <v>894</v>
      </c>
    </row>
    <row r="177" spans="1:24" ht="27.95" x14ac:dyDescent="0.3">
      <c r="A177" s="3">
        <v>171</v>
      </c>
      <c r="B177" s="3" t="str">
        <f>"201800091702"</f>
        <v>201800091702</v>
      </c>
      <c r="C177" s="3">
        <v>136611</v>
      </c>
      <c r="D177" s="3" t="s">
        <v>895</v>
      </c>
      <c r="E177" s="3">
        <v>10225133358</v>
      </c>
      <c r="F177" s="3" t="s">
        <v>896</v>
      </c>
      <c r="G177" s="3" t="s">
        <v>897</v>
      </c>
      <c r="H177" s="3" t="s">
        <v>73</v>
      </c>
      <c r="I177" s="3" t="s">
        <v>73</v>
      </c>
      <c r="J177" s="3" t="s">
        <v>898</v>
      </c>
      <c r="K177" s="3" t="s">
        <v>31</v>
      </c>
      <c r="L177" s="3" t="s">
        <v>236</v>
      </c>
      <c r="M177" s="3" t="s">
        <v>65</v>
      </c>
      <c r="N177" s="3" t="s">
        <v>899</v>
      </c>
      <c r="O177" s="3"/>
      <c r="P177" s="3"/>
      <c r="Q177" s="3"/>
      <c r="R177" s="3"/>
      <c r="S177" s="3"/>
      <c r="T177" s="3"/>
      <c r="U177" s="3">
        <v>715</v>
      </c>
      <c r="V177" s="4">
        <v>43256</v>
      </c>
      <c r="W177" s="3" t="s">
        <v>33</v>
      </c>
      <c r="X177" s="3" t="s">
        <v>896</v>
      </c>
    </row>
    <row r="178" spans="1:24" ht="27.95" x14ac:dyDescent="0.3">
      <c r="A178" s="3">
        <v>172</v>
      </c>
      <c r="B178" s="3" t="str">
        <f>"201600051957"</f>
        <v>201600051957</v>
      </c>
      <c r="C178" s="3">
        <v>117421</v>
      </c>
      <c r="D178" s="3" t="s">
        <v>900</v>
      </c>
      <c r="E178" s="3">
        <v>20558358450</v>
      </c>
      <c r="F178" s="3" t="s">
        <v>901</v>
      </c>
      <c r="G178" s="3" t="s">
        <v>902</v>
      </c>
      <c r="H178" s="3" t="s">
        <v>150</v>
      </c>
      <c r="I178" s="3" t="s">
        <v>150</v>
      </c>
      <c r="J178" s="3" t="s">
        <v>903</v>
      </c>
      <c r="K178" s="3" t="s">
        <v>31</v>
      </c>
      <c r="L178" s="3" t="s">
        <v>904</v>
      </c>
      <c r="M178" s="3"/>
      <c r="N178" s="3"/>
      <c r="O178" s="3"/>
      <c r="P178" s="3"/>
      <c r="Q178" s="3"/>
      <c r="R178" s="3"/>
      <c r="S178" s="3"/>
      <c r="T178" s="3"/>
      <c r="U178" s="3">
        <v>330</v>
      </c>
      <c r="V178" s="4">
        <v>42515</v>
      </c>
      <c r="W178" s="3" t="s">
        <v>33</v>
      </c>
      <c r="X178" s="3" t="s">
        <v>905</v>
      </c>
    </row>
    <row r="179" spans="1:24" ht="27.95" x14ac:dyDescent="0.3">
      <c r="A179" s="3">
        <v>173</v>
      </c>
      <c r="B179" s="3" t="str">
        <f>"201300105284"</f>
        <v>201300105284</v>
      </c>
      <c r="C179" s="3">
        <v>103562</v>
      </c>
      <c r="D179" s="3" t="s">
        <v>906</v>
      </c>
      <c r="E179" s="3">
        <v>10022626774</v>
      </c>
      <c r="F179" s="3" t="s">
        <v>907</v>
      </c>
      <c r="G179" s="3" t="s">
        <v>908</v>
      </c>
      <c r="H179" s="3" t="s">
        <v>45</v>
      </c>
      <c r="I179" s="3" t="s">
        <v>352</v>
      </c>
      <c r="J179" s="3" t="s">
        <v>909</v>
      </c>
      <c r="K179" s="3" t="s">
        <v>31</v>
      </c>
      <c r="L179" s="3" t="s">
        <v>182</v>
      </c>
      <c r="M179" s="3" t="s">
        <v>181</v>
      </c>
      <c r="N179" s="3"/>
      <c r="O179" s="3"/>
      <c r="P179" s="3"/>
      <c r="Q179" s="3"/>
      <c r="R179" s="3"/>
      <c r="S179" s="3"/>
      <c r="T179" s="3"/>
      <c r="U179" s="3">
        <v>330</v>
      </c>
      <c r="V179" s="4">
        <v>41438</v>
      </c>
      <c r="W179" s="3" t="s">
        <v>33</v>
      </c>
      <c r="X179" s="3" t="s">
        <v>907</v>
      </c>
    </row>
    <row r="180" spans="1:24" ht="27.95" x14ac:dyDescent="0.3">
      <c r="A180" s="3">
        <v>174</v>
      </c>
      <c r="B180" s="3" t="str">
        <f>"201600143298"</f>
        <v>201600143298</v>
      </c>
      <c r="C180" s="3">
        <v>118993</v>
      </c>
      <c r="D180" s="3" t="s">
        <v>910</v>
      </c>
      <c r="E180" s="3">
        <v>10704316807</v>
      </c>
      <c r="F180" s="3" t="s">
        <v>911</v>
      </c>
      <c r="G180" s="3" t="s">
        <v>912</v>
      </c>
      <c r="H180" s="3" t="s">
        <v>61</v>
      </c>
      <c r="I180" s="3" t="s">
        <v>554</v>
      </c>
      <c r="J180" s="3" t="s">
        <v>913</v>
      </c>
      <c r="K180" s="3" t="s">
        <v>31</v>
      </c>
      <c r="L180" s="3"/>
      <c r="M180" s="3"/>
      <c r="N180" s="3" t="s">
        <v>41</v>
      </c>
      <c r="O180" s="3" t="s">
        <v>65</v>
      </c>
      <c r="P180" s="3"/>
      <c r="Q180" s="3"/>
      <c r="R180" s="3"/>
      <c r="S180" s="3"/>
      <c r="T180" s="3"/>
      <c r="U180" s="3">
        <v>330</v>
      </c>
      <c r="V180" s="4">
        <v>42654</v>
      </c>
      <c r="W180" s="3" t="s">
        <v>33</v>
      </c>
      <c r="X180" s="3" t="s">
        <v>911</v>
      </c>
    </row>
    <row r="181" spans="1:24" ht="27.95" x14ac:dyDescent="0.3">
      <c r="A181" s="3">
        <v>175</v>
      </c>
      <c r="B181" s="3" t="str">
        <f>"201900160464"</f>
        <v>201900160464</v>
      </c>
      <c r="C181" s="3">
        <v>146913</v>
      </c>
      <c r="D181" s="3" t="s">
        <v>914</v>
      </c>
      <c r="E181" s="3">
        <v>10800878123</v>
      </c>
      <c r="F181" s="3" t="s">
        <v>915</v>
      </c>
      <c r="G181" s="3" t="s">
        <v>916</v>
      </c>
      <c r="H181" s="3" t="s">
        <v>233</v>
      </c>
      <c r="I181" s="3" t="s">
        <v>233</v>
      </c>
      <c r="J181" s="3" t="s">
        <v>782</v>
      </c>
      <c r="K181" s="3" t="s">
        <v>31</v>
      </c>
      <c r="L181" s="3" t="s">
        <v>237</v>
      </c>
      <c r="M181" s="3" t="s">
        <v>791</v>
      </c>
      <c r="N181" s="3" t="s">
        <v>50</v>
      </c>
      <c r="O181" s="3"/>
      <c r="P181" s="3"/>
      <c r="Q181" s="3"/>
      <c r="R181" s="3"/>
      <c r="S181" s="3"/>
      <c r="T181" s="3"/>
      <c r="U181" s="3">
        <v>330</v>
      </c>
      <c r="V181" s="4">
        <v>43760</v>
      </c>
      <c r="W181" s="3" t="s">
        <v>33</v>
      </c>
      <c r="X181" s="3" t="s">
        <v>915</v>
      </c>
    </row>
    <row r="182" spans="1:24" ht="27.95" x14ac:dyDescent="0.3">
      <c r="A182" s="3">
        <v>176</v>
      </c>
      <c r="B182" s="3" t="str">
        <f>"1530284"</f>
        <v>1530284</v>
      </c>
      <c r="C182" s="3">
        <v>40285</v>
      </c>
      <c r="D182" s="3" t="s">
        <v>917</v>
      </c>
      <c r="E182" s="3">
        <v>20393151731</v>
      </c>
      <c r="F182" s="3" t="s">
        <v>918</v>
      </c>
      <c r="G182" s="3" t="s">
        <v>919</v>
      </c>
      <c r="H182" s="3" t="s">
        <v>92</v>
      </c>
      <c r="I182" s="3" t="s">
        <v>655</v>
      </c>
      <c r="J182" s="3" t="s">
        <v>920</v>
      </c>
      <c r="K182" s="3" t="s">
        <v>31</v>
      </c>
      <c r="L182" s="3" t="s">
        <v>50</v>
      </c>
      <c r="M182" s="3" t="s">
        <v>921</v>
      </c>
      <c r="N182" s="3" t="s">
        <v>107</v>
      </c>
      <c r="O182" s="3"/>
      <c r="P182" s="3"/>
      <c r="Q182" s="3"/>
      <c r="R182" s="3"/>
      <c r="S182" s="3"/>
      <c r="T182" s="3"/>
      <c r="U182" s="3">
        <v>342</v>
      </c>
      <c r="V182" s="4">
        <v>38463</v>
      </c>
      <c r="W182" s="3" t="s">
        <v>33</v>
      </c>
      <c r="X182" s="3" t="s">
        <v>922</v>
      </c>
    </row>
    <row r="183" spans="1:24" ht="27.95" x14ac:dyDescent="0.3">
      <c r="A183" s="3">
        <v>177</v>
      </c>
      <c r="B183" s="3" t="str">
        <f>"201700022435"</f>
        <v>201700022435</v>
      </c>
      <c r="C183" s="3">
        <v>126577</v>
      </c>
      <c r="D183" s="3" t="s">
        <v>923</v>
      </c>
      <c r="E183" s="3">
        <v>10015142303</v>
      </c>
      <c r="F183" s="3" t="s">
        <v>924</v>
      </c>
      <c r="G183" s="3" t="s">
        <v>925</v>
      </c>
      <c r="H183" s="3" t="s">
        <v>45</v>
      </c>
      <c r="I183" s="3" t="s">
        <v>668</v>
      </c>
      <c r="J183" s="3" t="s">
        <v>926</v>
      </c>
      <c r="K183" s="3" t="s">
        <v>31</v>
      </c>
      <c r="L183" s="3" t="s">
        <v>121</v>
      </c>
      <c r="M183" s="3" t="s">
        <v>64</v>
      </c>
      <c r="N183" s="3"/>
      <c r="O183" s="3"/>
      <c r="P183" s="3"/>
      <c r="Q183" s="3"/>
      <c r="R183" s="3"/>
      <c r="S183" s="3"/>
      <c r="T183" s="3"/>
      <c r="U183" s="3">
        <v>330</v>
      </c>
      <c r="V183" s="4">
        <v>42815</v>
      </c>
      <c r="W183" s="3" t="s">
        <v>33</v>
      </c>
      <c r="X183" s="3" t="s">
        <v>924</v>
      </c>
    </row>
    <row r="184" spans="1:24" ht="27.95" x14ac:dyDescent="0.3">
      <c r="A184" s="3">
        <v>178</v>
      </c>
      <c r="B184" s="3" t="str">
        <f>"201500091003"</f>
        <v>201500091003</v>
      </c>
      <c r="C184" s="3">
        <v>33467</v>
      </c>
      <c r="D184" s="3" t="s">
        <v>927</v>
      </c>
      <c r="E184" s="3">
        <v>10020478859</v>
      </c>
      <c r="F184" s="3" t="s">
        <v>928</v>
      </c>
      <c r="G184" s="3" t="s">
        <v>929</v>
      </c>
      <c r="H184" s="3" t="s">
        <v>45</v>
      </c>
      <c r="I184" s="3" t="s">
        <v>179</v>
      </c>
      <c r="J184" s="3" t="s">
        <v>180</v>
      </c>
      <c r="K184" s="3" t="s">
        <v>31</v>
      </c>
      <c r="L184" s="3"/>
      <c r="M184" s="3"/>
      <c r="N184" s="3" t="s">
        <v>181</v>
      </c>
      <c r="O184" s="3" t="s">
        <v>121</v>
      </c>
      <c r="P184" s="3"/>
      <c r="Q184" s="3"/>
      <c r="R184" s="3"/>
      <c r="S184" s="3"/>
      <c r="T184" s="3"/>
      <c r="U184" s="3">
        <v>330</v>
      </c>
      <c r="V184" s="4">
        <v>42219</v>
      </c>
      <c r="W184" s="3" t="s">
        <v>33</v>
      </c>
      <c r="X184" s="3" t="s">
        <v>928</v>
      </c>
    </row>
    <row r="185" spans="1:24" ht="27.95" x14ac:dyDescent="0.3">
      <c r="A185" s="3">
        <v>179</v>
      </c>
      <c r="B185" s="3" t="str">
        <f>"201800003481"</f>
        <v>201800003481</v>
      </c>
      <c r="C185" s="3">
        <v>20995</v>
      </c>
      <c r="D185" s="3" t="s">
        <v>930</v>
      </c>
      <c r="E185" s="3">
        <v>10015345280</v>
      </c>
      <c r="F185" s="3" t="s">
        <v>931</v>
      </c>
      <c r="G185" s="3" t="s">
        <v>932</v>
      </c>
      <c r="H185" s="3" t="s">
        <v>45</v>
      </c>
      <c r="I185" s="3" t="s">
        <v>46</v>
      </c>
      <c r="J185" s="3" t="s">
        <v>46</v>
      </c>
      <c r="K185" s="3" t="s">
        <v>31</v>
      </c>
      <c r="L185" s="3"/>
      <c r="M185" s="3"/>
      <c r="N185" s="3" t="s">
        <v>826</v>
      </c>
      <c r="O185" s="3" t="s">
        <v>236</v>
      </c>
      <c r="P185" s="3"/>
      <c r="Q185" s="3"/>
      <c r="R185" s="3"/>
      <c r="S185" s="3"/>
      <c r="T185" s="3"/>
      <c r="U185" s="3">
        <v>715</v>
      </c>
      <c r="V185" s="4">
        <v>43116</v>
      </c>
      <c r="W185" s="3" t="s">
        <v>33</v>
      </c>
      <c r="X185" s="3" t="s">
        <v>931</v>
      </c>
    </row>
    <row r="186" spans="1:24" ht="27.95" x14ac:dyDescent="0.3">
      <c r="A186" s="3">
        <v>180</v>
      </c>
      <c r="B186" s="3" t="str">
        <f>"202000068145"</f>
        <v>202000068145</v>
      </c>
      <c r="C186" s="3">
        <v>149471</v>
      </c>
      <c r="D186" s="3" t="s">
        <v>933</v>
      </c>
      <c r="E186" s="3">
        <v>20605866876</v>
      </c>
      <c r="F186" s="3" t="s">
        <v>934</v>
      </c>
      <c r="G186" s="3" t="s">
        <v>935</v>
      </c>
      <c r="H186" s="3" t="s">
        <v>150</v>
      </c>
      <c r="I186" s="3" t="s">
        <v>150</v>
      </c>
      <c r="J186" s="3" t="s">
        <v>936</v>
      </c>
      <c r="K186" s="3" t="s">
        <v>31</v>
      </c>
      <c r="L186" s="3" t="s">
        <v>57</v>
      </c>
      <c r="M186" s="3"/>
      <c r="N186" s="3"/>
      <c r="O186" s="3"/>
      <c r="P186" s="3"/>
      <c r="Q186" s="3"/>
      <c r="R186" s="3"/>
      <c r="S186" s="3"/>
      <c r="T186" s="3"/>
      <c r="U186" s="3">
        <v>715</v>
      </c>
      <c r="V186" s="4">
        <v>44005</v>
      </c>
      <c r="W186" s="3" t="s">
        <v>33</v>
      </c>
      <c r="X186" s="3" t="s">
        <v>937</v>
      </c>
    </row>
    <row r="187" spans="1:24" ht="27.95" x14ac:dyDescent="0.3">
      <c r="A187" s="3">
        <v>181</v>
      </c>
      <c r="B187" s="3" t="str">
        <f>"201800047445"</f>
        <v>201800047445</v>
      </c>
      <c r="C187" s="3">
        <v>135206</v>
      </c>
      <c r="D187" s="3" t="s">
        <v>938</v>
      </c>
      <c r="E187" s="3">
        <v>20602816801</v>
      </c>
      <c r="F187" s="3" t="s">
        <v>939</v>
      </c>
      <c r="G187" s="3" t="s">
        <v>940</v>
      </c>
      <c r="H187" s="3" t="s">
        <v>92</v>
      </c>
      <c r="I187" s="3" t="s">
        <v>246</v>
      </c>
      <c r="J187" s="3" t="s">
        <v>334</v>
      </c>
      <c r="K187" s="3" t="s">
        <v>31</v>
      </c>
      <c r="L187" s="3"/>
      <c r="M187" s="3" t="s">
        <v>115</v>
      </c>
      <c r="N187" s="3"/>
      <c r="O187" s="3"/>
      <c r="P187" s="3"/>
      <c r="Q187" s="3"/>
      <c r="R187" s="3"/>
      <c r="S187" s="3"/>
      <c r="T187" s="3"/>
      <c r="U187" s="3">
        <v>715</v>
      </c>
      <c r="V187" s="4">
        <v>43193</v>
      </c>
      <c r="W187" s="3" t="s">
        <v>33</v>
      </c>
      <c r="X187" s="3" t="s">
        <v>941</v>
      </c>
    </row>
    <row r="188" spans="1:24" ht="27.95" x14ac:dyDescent="0.3">
      <c r="A188" s="3">
        <v>182</v>
      </c>
      <c r="B188" s="3" t="str">
        <f>"201700201661"</f>
        <v>201700201661</v>
      </c>
      <c r="C188" s="3">
        <v>122062</v>
      </c>
      <c r="D188" s="3" t="s">
        <v>942</v>
      </c>
      <c r="E188" s="3">
        <v>10420573036</v>
      </c>
      <c r="F188" s="3" t="s">
        <v>943</v>
      </c>
      <c r="G188" s="3" t="s">
        <v>944</v>
      </c>
      <c r="H188" s="3" t="s">
        <v>92</v>
      </c>
      <c r="I188" s="3" t="s">
        <v>246</v>
      </c>
      <c r="J188" s="3" t="s">
        <v>334</v>
      </c>
      <c r="K188" s="3" t="s">
        <v>31</v>
      </c>
      <c r="L188" s="3"/>
      <c r="M188" s="3" t="s">
        <v>50</v>
      </c>
      <c r="N188" s="3" t="s">
        <v>41</v>
      </c>
      <c r="O188" s="3" t="s">
        <v>264</v>
      </c>
      <c r="P188" s="3"/>
      <c r="Q188" s="3"/>
      <c r="R188" s="3"/>
      <c r="S188" s="3"/>
      <c r="T188" s="3"/>
      <c r="U188" s="3">
        <v>330</v>
      </c>
      <c r="V188" s="4">
        <v>43070</v>
      </c>
      <c r="W188" s="3" t="s">
        <v>33</v>
      </c>
      <c r="X188" s="3" t="s">
        <v>945</v>
      </c>
    </row>
    <row r="189" spans="1:24" ht="27.95" x14ac:dyDescent="0.3">
      <c r="A189" s="3">
        <v>183</v>
      </c>
      <c r="B189" s="3" t="str">
        <f>"201500103290"</f>
        <v>201500103290</v>
      </c>
      <c r="C189" s="3">
        <v>115334</v>
      </c>
      <c r="D189" s="3" t="s">
        <v>946</v>
      </c>
      <c r="E189" s="3">
        <v>10274302700</v>
      </c>
      <c r="F189" s="3" t="s">
        <v>947</v>
      </c>
      <c r="G189" s="3" t="s">
        <v>948</v>
      </c>
      <c r="H189" s="3" t="s">
        <v>194</v>
      </c>
      <c r="I189" s="3" t="s">
        <v>813</v>
      </c>
      <c r="J189" s="3" t="s">
        <v>949</v>
      </c>
      <c r="K189" s="3" t="s">
        <v>31</v>
      </c>
      <c r="L189" s="3" t="s">
        <v>39</v>
      </c>
      <c r="M189" s="3" t="s">
        <v>40</v>
      </c>
      <c r="N189" s="3" t="s">
        <v>41</v>
      </c>
      <c r="O189" s="3"/>
      <c r="P189" s="3"/>
      <c r="Q189" s="3"/>
      <c r="R189" s="3"/>
      <c r="S189" s="3"/>
      <c r="T189" s="3"/>
      <c r="U189" s="3">
        <v>330</v>
      </c>
      <c r="V189" s="4">
        <v>42243</v>
      </c>
      <c r="W189" s="3" t="s">
        <v>33</v>
      </c>
      <c r="X189" s="3" t="s">
        <v>947</v>
      </c>
    </row>
    <row r="190" spans="1:24" ht="27.95" x14ac:dyDescent="0.3">
      <c r="A190" s="3">
        <v>184</v>
      </c>
      <c r="B190" s="3" t="str">
        <f>"201800189068"</f>
        <v>201800189068</v>
      </c>
      <c r="C190" s="3">
        <v>139653</v>
      </c>
      <c r="D190" s="3" t="s">
        <v>950</v>
      </c>
      <c r="E190" s="3">
        <v>10775380972</v>
      </c>
      <c r="F190" s="3" t="s">
        <v>951</v>
      </c>
      <c r="G190" s="3" t="s">
        <v>952</v>
      </c>
      <c r="H190" s="3" t="s">
        <v>45</v>
      </c>
      <c r="I190" s="3" t="s">
        <v>328</v>
      </c>
      <c r="J190" s="3" t="s">
        <v>953</v>
      </c>
      <c r="K190" s="3" t="s">
        <v>31</v>
      </c>
      <c r="L190" s="3" t="s">
        <v>340</v>
      </c>
      <c r="M190" s="3"/>
      <c r="N190" s="3"/>
      <c r="O190" s="3"/>
      <c r="P190" s="3"/>
      <c r="Q190" s="3"/>
      <c r="R190" s="3"/>
      <c r="S190" s="3"/>
      <c r="T190" s="3"/>
      <c r="U190" s="3">
        <v>715</v>
      </c>
      <c r="V190" s="4">
        <v>43419</v>
      </c>
      <c r="W190" s="3" t="s">
        <v>33</v>
      </c>
      <c r="X190" s="3" t="s">
        <v>951</v>
      </c>
    </row>
    <row r="191" spans="1:24" ht="27.95" x14ac:dyDescent="0.3">
      <c r="A191" s="3">
        <v>185</v>
      </c>
      <c r="B191" s="3" t="str">
        <f>"202000106747"</f>
        <v>202000106747</v>
      </c>
      <c r="C191" s="3">
        <v>150649</v>
      </c>
      <c r="D191" s="3" t="s">
        <v>954</v>
      </c>
      <c r="E191" s="3">
        <v>10465946291</v>
      </c>
      <c r="F191" s="3" t="s">
        <v>808</v>
      </c>
      <c r="G191" s="3" t="s">
        <v>955</v>
      </c>
      <c r="H191" s="3" t="s">
        <v>92</v>
      </c>
      <c r="I191" s="3" t="s">
        <v>655</v>
      </c>
      <c r="J191" s="3" t="s">
        <v>956</v>
      </c>
      <c r="K191" s="3" t="s">
        <v>31</v>
      </c>
      <c r="L191" s="3" t="s">
        <v>957</v>
      </c>
      <c r="M191" s="3"/>
      <c r="N191" s="3"/>
      <c r="O191" s="3"/>
      <c r="P191" s="3"/>
      <c r="Q191" s="3"/>
      <c r="R191" s="3"/>
      <c r="S191" s="3"/>
      <c r="T191" s="3"/>
      <c r="U191" s="3">
        <v>715</v>
      </c>
      <c r="V191" s="4">
        <v>44066</v>
      </c>
      <c r="W191" s="3" t="s">
        <v>33</v>
      </c>
      <c r="X191" s="3" t="s">
        <v>808</v>
      </c>
    </row>
    <row r="192" spans="1:24" ht="27.95" x14ac:dyDescent="0.3">
      <c r="A192" s="3">
        <v>186</v>
      </c>
      <c r="B192" s="3" t="str">
        <f>"201500139588"</f>
        <v>201500139588</v>
      </c>
      <c r="C192" s="3">
        <v>86017</v>
      </c>
      <c r="D192" s="3" t="s">
        <v>958</v>
      </c>
      <c r="E192" s="3">
        <v>10025271411</v>
      </c>
      <c r="F192" s="3" t="s">
        <v>959</v>
      </c>
      <c r="G192" s="3" t="s">
        <v>960</v>
      </c>
      <c r="H192" s="3" t="s">
        <v>45</v>
      </c>
      <c r="I192" s="3" t="s">
        <v>668</v>
      </c>
      <c r="J192" s="3" t="s">
        <v>669</v>
      </c>
      <c r="K192" s="3" t="s">
        <v>31</v>
      </c>
      <c r="L192" s="3"/>
      <c r="M192" s="3"/>
      <c r="N192" s="3"/>
      <c r="O192" s="3"/>
      <c r="P192" s="3"/>
      <c r="Q192" s="3"/>
      <c r="R192" s="3"/>
      <c r="S192" s="3"/>
      <c r="T192" s="3"/>
      <c r="U192" s="3">
        <v>330</v>
      </c>
      <c r="V192" s="4">
        <v>42305</v>
      </c>
      <c r="W192" s="3" t="s">
        <v>33</v>
      </c>
      <c r="X192" s="3" t="s">
        <v>959</v>
      </c>
    </row>
    <row r="193" spans="1:24" ht="27.95" x14ac:dyDescent="0.3">
      <c r="A193" s="3">
        <v>187</v>
      </c>
      <c r="B193" s="3" t="str">
        <f>"201300119835"</f>
        <v>201300119835</v>
      </c>
      <c r="C193" s="3">
        <v>21028</v>
      </c>
      <c r="D193" s="3" t="s">
        <v>961</v>
      </c>
      <c r="E193" s="3">
        <v>10015124780</v>
      </c>
      <c r="F193" s="3" t="s">
        <v>962</v>
      </c>
      <c r="G193" s="3" t="s">
        <v>963</v>
      </c>
      <c r="H193" s="3" t="s">
        <v>45</v>
      </c>
      <c r="I193" s="3" t="s">
        <v>46</v>
      </c>
      <c r="J193" s="3" t="s">
        <v>964</v>
      </c>
      <c r="K193" s="3" t="s">
        <v>31</v>
      </c>
      <c r="L193" s="3" t="s">
        <v>182</v>
      </c>
      <c r="M193" s="3" t="s">
        <v>181</v>
      </c>
      <c r="N193" s="3"/>
      <c r="O193" s="3"/>
      <c r="P193" s="3"/>
      <c r="Q193" s="3"/>
      <c r="R193" s="3"/>
      <c r="S193" s="3"/>
      <c r="T193" s="3"/>
      <c r="U193" s="3">
        <v>330</v>
      </c>
      <c r="V193" s="4">
        <v>41479</v>
      </c>
      <c r="W193" s="3" t="s">
        <v>33</v>
      </c>
      <c r="X193" s="3" t="s">
        <v>962</v>
      </c>
    </row>
    <row r="194" spans="1:24" ht="27.95" x14ac:dyDescent="0.3">
      <c r="A194" s="3">
        <v>188</v>
      </c>
      <c r="B194" s="3" t="str">
        <f>"201900186632"</f>
        <v>201900186632</v>
      </c>
      <c r="C194" s="3">
        <v>95854</v>
      </c>
      <c r="D194" s="3" t="s">
        <v>965</v>
      </c>
      <c r="E194" s="3">
        <v>10210048478</v>
      </c>
      <c r="F194" s="3" t="s">
        <v>966</v>
      </c>
      <c r="G194" s="3" t="s">
        <v>967</v>
      </c>
      <c r="H194" s="3" t="s">
        <v>37</v>
      </c>
      <c r="I194" s="3" t="s">
        <v>38</v>
      </c>
      <c r="J194" s="3" t="s">
        <v>968</v>
      </c>
      <c r="K194" s="3" t="s">
        <v>31</v>
      </c>
      <c r="L194" s="3" t="s">
        <v>39</v>
      </c>
      <c r="M194" s="3" t="s">
        <v>181</v>
      </c>
      <c r="N194" s="3" t="s">
        <v>40</v>
      </c>
      <c r="O194" s="3"/>
      <c r="P194" s="3"/>
      <c r="Q194" s="3"/>
      <c r="R194" s="3"/>
      <c r="S194" s="3"/>
      <c r="T194" s="3"/>
      <c r="U194" s="3">
        <v>330</v>
      </c>
      <c r="V194" s="4">
        <v>43784</v>
      </c>
      <c r="W194" s="4">
        <v>44150</v>
      </c>
      <c r="X194" s="3" t="s">
        <v>966</v>
      </c>
    </row>
    <row r="195" spans="1:24" ht="41.95" x14ac:dyDescent="0.3">
      <c r="A195" s="3">
        <v>189</v>
      </c>
      <c r="B195" s="3" t="str">
        <f>"201800156711"</f>
        <v>201800156711</v>
      </c>
      <c r="C195" s="3">
        <v>138730</v>
      </c>
      <c r="D195" s="3" t="s">
        <v>969</v>
      </c>
      <c r="E195" s="3">
        <v>10437595157</v>
      </c>
      <c r="F195" s="3" t="s">
        <v>970</v>
      </c>
      <c r="G195" s="3" t="s">
        <v>971</v>
      </c>
      <c r="H195" s="3" t="s">
        <v>498</v>
      </c>
      <c r="I195" s="3" t="s">
        <v>972</v>
      </c>
      <c r="J195" s="3" t="s">
        <v>972</v>
      </c>
      <c r="K195" s="3" t="s">
        <v>31</v>
      </c>
      <c r="L195" s="3" t="s">
        <v>739</v>
      </c>
      <c r="M195" s="3"/>
      <c r="N195" s="3"/>
      <c r="O195" s="3"/>
      <c r="P195" s="3"/>
      <c r="Q195" s="3"/>
      <c r="R195" s="3"/>
      <c r="S195" s="3"/>
      <c r="T195" s="3"/>
      <c r="U195" s="3">
        <v>715</v>
      </c>
      <c r="V195" s="4">
        <v>43367</v>
      </c>
      <c r="W195" s="3" t="s">
        <v>33</v>
      </c>
      <c r="X195" s="3" t="s">
        <v>970</v>
      </c>
    </row>
    <row r="196" spans="1:24" ht="27.95" x14ac:dyDescent="0.3">
      <c r="A196" s="3">
        <v>190</v>
      </c>
      <c r="B196" s="3" t="str">
        <f>"201600094055"</f>
        <v>201600094055</v>
      </c>
      <c r="C196" s="3">
        <v>122344</v>
      </c>
      <c r="D196" s="3" t="s">
        <v>973</v>
      </c>
      <c r="E196" s="3">
        <v>10415726401</v>
      </c>
      <c r="F196" s="3" t="s">
        <v>974</v>
      </c>
      <c r="G196" s="3" t="s">
        <v>975</v>
      </c>
      <c r="H196" s="3" t="s">
        <v>73</v>
      </c>
      <c r="I196" s="3" t="s">
        <v>416</v>
      </c>
      <c r="J196" s="3" t="s">
        <v>976</v>
      </c>
      <c r="K196" s="3" t="s">
        <v>31</v>
      </c>
      <c r="L196" s="3" t="s">
        <v>41</v>
      </c>
      <c r="M196" s="3" t="s">
        <v>40</v>
      </c>
      <c r="N196" s="3" t="s">
        <v>39</v>
      </c>
      <c r="O196" s="3"/>
      <c r="P196" s="3"/>
      <c r="Q196" s="3"/>
      <c r="R196" s="3"/>
      <c r="S196" s="3"/>
      <c r="T196" s="3"/>
      <c r="U196" s="3">
        <v>330</v>
      </c>
      <c r="V196" s="4">
        <v>42569</v>
      </c>
      <c r="W196" s="3" t="s">
        <v>33</v>
      </c>
      <c r="X196" s="3" t="s">
        <v>974</v>
      </c>
    </row>
    <row r="197" spans="1:24" ht="27.95" x14ac:dyDescent="0.3">
      <c r="A197" s="3">
        <v>191</v>
      </c>
      <c r="B197" s="3" t="str">
        <f>"201300043951"</f>
        <v>201300043951</v>
      </c>
      <c r="C197" s="3">
        <v>17928</v>
      </c>
      <c r="D197" s="3" t="s">
        <v>977</v>
      </c>
      <c r="E197" s="3">
        <v>10018019146</v>
      </c>
      <c r="F197" s="3" t="s">
        <v>978</v>
      </c>
      <c r="G197" s="3" t="s">
        <v>979</v>
      </c>
      <c r="H197" s="3" t="s">
        <v>45</v>
      </c>
      <c r="I197" s="3" t="s">
        <v>214</v>
      </c>
      <c r="J197" s="3" t="s">
        <v>980</v>
      </c>
      <c r="K197" s="3" t="s">
        <v>31</v>
      </c>
      <c r="L197" s="3"/>
      <c r="M197" s="3" t="s">
        <v>181</v>
      </c>
      <c r="N197" s="3" t="s">
        <v>981</v>
      </c>
      <c r="O197" s="3"/>
      <c r="P197" s="3"/>
      <c r="Q197" s="3"/>
      <c r="R197" s="3"/>
      <c r="S197" s="3"/>
      <c r="T197" s="3"/>
      <c r="U197" s="3">
        <v>330</v>
      </c>
      <c r="V197" s="4">
        <v>41336</v>
      </c>
      <c r="W197" s="3" t="s">
        <v>33</v>
      </c>
      <c r="X197" s="3" t="s">
        <v>982</v>
      </c>
    </row>
    <row r="198" spans="1:24" ht="27.95" x14ac:dyDescent="0.3">
      <c r="A198" s="3">
        <v>192</v>
      </c>
      <c r="B198" s="3" t="str">
        <f>"201800137126"</f>
        <v>201800137126</v>
      </c>
      <c r="C198" s="3">
        <v>138108</v>
      </c>
      <c r="D198" s="3" t="s">
        <v>983</v>
      </c>
      <c r="E198" s="3">
        <v>10418604811</v>
      </c>
      <c r="F198" s="3" t="s">
        <v>984</v>
      </c>
      <c r="G198" s="3" t="s">
        <v>985</v>
      </c>
      <c r="H198" s="3" t="s">
        <v>45</v>
      </c>
      <c r="I198" s="3" t="s">
        <v>119</v>
      </c>
      <c r="J198" s="3" t="s">
        <v>825</v>
      </c>
      <c r="K198" s="3" t="s">
        <v>31</v>
      </c>
      <c r="L198" s="3" t="s">
        <v>340</v>
      </c>
      <c r="M198" s="3"/>
      <c r="N198" s="3"/>
      <c r="O198" s="3"/>
      <c r="P198" s="3"/>
      <c r="Q198" s="3"/>
      <c r="R198" s="3"/>
      <c r="S198" s="3"/>
      <c r="T198" s="3"/>
      <c r="U198" s="3">
        <v>715</v>
      </c>
      <c r="V198" s="4">
        <v>43334</v>
      </c>
      <c r="W198" s="3" t="s">
        <v>33</v>
      </c>
      <c r="X198" s="3" t="s">
        <v>984</v>
      </c>
    </row>
    <row r="199" spans="1:24" ht="27.95" x14ac:dyDescent="0.3">
      <c r="A199" s="3">
        <v>193</v>
      </c>
      <c r="B199" s="3" t="str">
        <f>"201600152650"</f>
        <v>201600152650</v>
      </c>
      <c r="C199" s="3">
        <v>121489</v>
      </c>
      <c r="D199" s="3" t="s">
        <v>986</v>
      </c>
      <c r="E199" s="3">
        <v>20601580811</v>
      </c>
      <c r="F199" s="3" t="s">
        <v>987</v>
      </c>
      <c r="G199" s="3" t="s">
        <v>988</v>
      </c>
      <c r="H199" s="3" t="s">
        <v>45</v>
      </c>
      <c r="I199" s="3" t="s">
        <v>448</v>
      </c>
      <c r="J199" s="3" t="s">
        <v>989</v>
      </c>
      <c r="K199" s="3" t="s">
        <v>31</v>
      </c>
      <c r="L199" s="3" t="s">
        <v>64</v>
      </c>
      <c r="M199" s="3" t="s">
        <v>182</v>
      </c>
      <c r="N199" s="3"/>
      <c r="O199" s="3"/>
      <c r="P199" s="3"/>
      <c r="Q199" s="3"/>
      <c r="R199" s="3"/>
      <c r="S199" s="3"/>
      <c r="T199" s="3"/>
      <c r="U199" s="3">
        <v>330</v>
      </c>
      <c r="V199" s="4">
        <v>42681</v>
      </c>
      <c r="W199" s="3" t="s">
        <v>33</v>
      </c>
      <c r="X199" s="3" t="s">
        <v>990</v>
      </c>
    </row>
    <row r="200" spans="1:24" ht="27.95" x14ac:dyDescent="0.3">
      <c r="A200" s="3">
        <v>194</v>
      </c>
      <c r="B200" s="3" t="str">
        <f>"1289106"</f>
        <v>1289106</v>
      </c>
      <c r="C200" s="3">
        <v>20069</v>
      </c>
      <c r="D200" s="3" t="s">
        <v>991</v>
      </c>
      <c r="E200" s="3">
        <v>20322404884</v>
      </c>
      <c r="F200" s="3" t="s">
        <v>992</v>
      </c>
      <c r="G200" s="3" t="s">
        <v>993</v>
      </c>
      <c r="H200" s="3" t="s">
        <v>45</v>
      </c>
      <c r="I200" s="3" t="s">
        <v>45</v>
      </c>
      <c r="J200" s="3" t="s">
        <v>994</v>
      </c>
      <c r="K200" s="3" t="s">
        <v>31</v>
      </c>
      <c r="L200" s="3" t="s">
        <v>48</v>
      </c>
      <c r="M200" s="3" t="s">
        <v>50</v>
      </c>
      <c r="N200" s="3" t="s">
        <v>49</v>
      </c>
      <c r="O200" s="3"/>
      <c r="P200" s="3"/>
      <c r="Q200" s="3"/>
      <c r="R200" s="3"/>
      <c r="S200" s="3"/>
      <c r="T200" s="3"/>
      <c r="U200" s="3">
        <v>440</v>
      </c>
      <c r="V200" s="4">
        <v>36684</v>
      </c>
      <c r="W200" s="3" t="s">
        <v>33</v>
      </c>
      <c r="X200" s="3" t="s">
        <v>995</v>
      </c>
    </row>
    <row r="201" spans="1:24" ht="27.95" x14ac:dyDescent="0.3">
      <c r="A201" s="3">
        <v>195</v>
      </c>
      <c r="B201" s="3" t="str">
        <f>"201800187945"</f>
        <v>201800187945</v>
      </c>
      <c r="C201" s="3">
        <v>139629</v>
      </c>
      <c r="D201" s="3" t="s">
        <v>996</v>
      </c>
      <c r="E201" s="3">
        <v>10244716402</v>
      </c>
      <c r="F201" s="3" t="s">
        <v>997</v>
      </c>
      <c r="G201" s="3" t="s">
        <v>998</v>
      </c>
      <c r="H201" s="3" t="s">
        <v>28</v>
      </c>
      <c r="I201" s="3" t="s">
        <v>579</v>
      </c>
      <c r="J201" s="3" t="s">
        <v>580</v>
      </c>
      <c r="K201" s="3" t="s">
        <v>31</v>
      </c>
      <c r="L201" s="3" t="s">
        <v>347</v>
      </c>
      <c r="M201" s="3"/>
      <c r="N201" s="3"/>
      <c r="O201" s="3"/>
      <c r="P201" s="3"/>
      <c r="Q201" s="3"/>
      <c r="R201" s="3"/>
      <c r="S201" s="3"/>
      <c r="T201" s="3"/>
      <c r="U201" s="3">
        <v>715</v>
      </c>
      <c r="V201" s="4">
        <v>43418</v>
      </c>
      <c r="W201" s="3" t="s">
        <v>33</v>
      </c>
      <c r="X201" s="3" t="s">
        <v>997</v>
      </c>
    </row>
    <row r="202" spans="1:24" ht="27.95" x14ac:dyDescent="0.3">
      <c r="A202" s="3">
        <v>196</v>
      </c>
      <c r="B202" s="3" t="str">
        <f>"202000029565"</f>
        <v>202000029565</v>
      </c>
      <c r="C202" s="3">
        <v>134613</v>
      </c>
      <c r="D202" s="3" t="s">
        <v>999</v>
      </c>
      <c r="E202" s="3">
        <v>10704580075</v>
      </c>
      <c r="F202" s="3" t="s">
        <v>1000</v>
      </c>
      <c r="G202" s="3" t="s">
        <v>1001</v>
      </c>
      <c r="H202" s="3" t="s">
        <v>28</v>
      </c>
      <c r="I202" s="3" t="s">
        <v>55</v>
      </c>
      <c r="J202" s="3" t="s">
        <v>134</v>
      </c>
      <c r="K202" s="3" t="s">
        <v>31</v>
      </c>
      <c r="L202" s="3" t="s">
        <v>57</v>
      </c>
      <c r="M202" s="3"/>
      <c r="N202" s="3"/>
      <c r="O202" s="3"/>
      <c r="P202" s="3"/>
      <c r="Q202" s="3"/>
      <c r="R202" s="3"/>
      <c r="S202" s="3"/>
      <c r="T202" s="3"/>
      <c r="U202" s="3">
        <v>715</v>
      </c>
      <c r="V202" s="4">
        <v>43881</v>
      </c>
      <c r="W202" s="3" t="s">
        <v>33</v>
      </c>
      <c r="X202" s="3" t="s">
        <v>1000</v>
      </c>
    </row>
    <row r="203" spans="1:24" ht="41.95" x14ac:dyDescent="0.3">
      <c r="A203" s="3">
        <v>197</v>
      </c>
      <c r="B203" s="3" t="str">
        <f>"202000098943"</f>
        <v>202000098943</v>
      </c>
      <c r="C203" s="3">
        <v>129085</v>
      </c>
      <c r="D203" s="3" t="s">
        <v>1002</v>
      </c>
      <c r="E203" s="3">
        <v>20602206468</v>
      </c>
      <c r="F203" s="3" t="s">
        <v>1003</v>
      </c>
      <c r="G203" s="3" t="s">
        <v>1004</v>
      </c>
      <c r="H203" s="3" t="s">
        <v>233</v>
      </c>
      <c r="I203" s="3" t="s">
        <v>504</v>
      </c>
      <c r="J203" s="3" t="s">
        <v>1005</v>
      </c>
      <c r="K203" s="3" t="s">
        <v>31</v>
      </c>
      <c r="L203" s="3" t="s">
        <v>889</v>
      </c>
      <c r="M203" s="3" t="s">
        <v>50</v>
      </c>
      <c r="N203" s="3" t="s">
        <v>237</v>
      </c>
      <c r="O203" s="3"/>
      <c r="P203" s="3"/>
      <c r="Q203" s="3"/>
      <c r="R203" s="3"/>
      <c r="S203" s="3"/>
      <c r="T203" s="3"/>
      <c r="U203" s="3">
        <v>330</v>
      </c>
      <c r="V203" s="4">
        <v>44053</v>
      </c>
      <c r="W203" s="3" t="s">
        <v>33</v>
      </c>
      <c r="X203" s="3" t="s">
        <v>1006</v>
      </c>
    </row>
    <row r="204" spans="1:24" ht="27.95" x14ac:dyDescent="0.3">
      <c r="A204" s="3">
        <v>198</v>
      </c>
      <c r="B204" s="3" t="str">
        <f>"202000068130"</f>
        <v>202000068130</v>
      </c>
      <c r="C204" s="3">
        <v>149696</v>
      </c>
      <c r="D204" s="3" t="s">
        <v>1007</v>
      </c>
      <c r="E204" s="3">
        <v>10249658800</v>
      </c>
      <c r="F204" s="3" t="s">
        <v>1008</v>
      </c>
      <c r="G204" s="3" t="s">
        <v>1009</v>
      </c>
      <c r="H204" s="3" t="s">
        <v>28</v>
      </c>
      <c r="I204" s="3" t="s">
        <v>29</v>
      </c>
      <c r="J204" s="3" t="s">
        <v>130</v>
      </c>
      <c r="K204" s="3" t="s">
        <v>31</v>
      </c>
      <c r="L204" s="3" t="s">
        <v>839</v>
      </c>
      <c r="M204" s="3"/>
      <c r="N204" s="3"/>
      <c r="O204" s="3"/>
      <c r="P204" s="3"/>
      <c r="Q204" s="3"/>
      <c r="R204" s="3"/>
      <c r="S204" s="3"/>
      <c r="T204" s="3"/>
      <c r="U204" s="3">
        <v>330</v>
      </c>
      <c r="V204" s="4">
        <v>43999</v>
      </c>
      <c r="W204" s="4">
        <v>44364</v>
      </c>
      <c r="X204" s="3" t="s">
        <v>1008</v>
      </c>
    </row>
    <row r="205" spans="1:24" ht="27.95" x14ac:dyDescent="0.3">
      <c r="A205" s="3">
        <v>199</v>
      </c>
      <c r="B205" s="3" t="str">
        <f>"201500042632"</f>
        <v>201500042632</v>
      </c>
      <c r="C205" s="3">
        <v>18466</v>
      </c>
      <c r="D205" s="3" t="s">
        <v>1010</v>
      </c>
      <c r="E205" s="3">
        <v>10017602794</v>
      </c>
      <c r="F205" s="3" t="s">
        <v>1011</v>
      </c>
      <c r="G205" s="3" t="s">
        <v>1012</v>
      </c>
      <c r="H205" s="3" t="s">
        <v>45</v>
      </c>
      <c r="I205" s="3" t="s">
        <v>214</v>
      </c>
      <c r="J205" s="3" t="s">
        <v>1013</v>
      </c>
      <c r="K205" s="3" t="s">
        <v>31</v>
      </c>
      <c r="L205" s="3" t="s">
        <v>64</v>
      </c>
      <c r="M205" s="3" t="s">
        <v>121</v>
      </c>
      <c r="N205" s="3"/>
      <c r="O205" s="3"/>
      <c r="P205" s="3"/>
      <c r="Q205" s="3"/>
      <c r="R205" s="3"/>
      <c r="S205" s="3"/>
      <c r="T205" s="3"/>
      <c r="U205" s="3">
        <v>330</v>
      </c>
      <c r="V205" s="4">
        <v>42130</v>
      </c>
      <c r="W205" s="3" t="s">
        <v>33</v>
      </c>
      <c r="X205" s="3" t="s">
        <v>1011</v>
      </c>
    </row>
    <row r="206" spans="1:24" ht="27.95" x14ac:dyDescent="0.3">
      <c r="A206" s="3">
        <v>200</v>
      </c>
      <c r="B206" s="3" t="str">
        <f>"201700022449"</f>
        <v>201700022449</v>
      </c>
      <c r="C206" s="3">
        <v>126575</v>
      </c>
      <c r="D206" s="3" t="s">
        <v>1014</v>
      </c>
      <c r="E206" s="3">
        <v>10449584151</v>
      </c>
      <c r="F206" s="3" t="s">
        <v>1015</v>
      </c>
      <c r="G206" s="3" t="s">
        <v>1016</v>
      </c>
      <c r="H206" s="3" t="s">
        <v>571</v>
      </c>
      <c r="I206" s="3" t="s">
        <v>571</v>
      </c>
      <c r="J206" s="3" t="s">
        <v>765</v>
      </c>
      <c r="K206" s="3" t="s">
        <v>31</v>
      </c>
      <c r="L206" s="3" t="s">
        <v>39</v>
      </c>
      <c r="M206" s="3" t="s">
        <v>574</v>
      </c>
      <c r="N206" s="3" t="s">
        <v>64</v>
      </c>
      <c r="O206" s="3"/>
      <c r="P206" s="3"/>
      <c r="Q206" s="3"/>
      <c r="R206" s="3"/>
      <c r="S206" s="3"/>
      <c r="T206" s="3"/>
      <c r="U206" s="3">
        <v>330</v>
      </c>
      <c r="V206" s="4">
        <v>42781</v>
      </c>
      <c r="W206" s="3" t="s">
        <v>33</v>
      </c>
      <c r="X206" s="3" t="s">
        <v>1015</v>
      </c>
    </row>
    <row r="207" spans="1:24" ht="27.95" x14ac:dyDescent="0.3">
      <c r="A207" s="3">
        <v>201</v>
      </c>
      <c r="B207" s="3" t="str">
        <f>"201700087438"</f>
        <v>201700087438</v>
      </c>
      <c r="C207" s="3">
        <v>128672</v>
      </c>
      <c r="D207" s="3" t="s">
        <v>1017</v>
      </c>
      <c r="E207" s="3">
        <v>10453787988</v>
      </c>
      <c r="F207" s="3" t="s">
        <v>1018</v>
      </c>
      <c r="G207" s="3" t="s">
        <v>1019</v>
      </c>
      <c r="H207" s="3" t="s">
        <v>28</v>
      </c>
      <c r="I207" s="3" t="s">
        <v>55</v>
      </c>
      <c r="J207" s="3" t="s">
        <v>1020</v>
      </c>
      <c r="K207" s="3" t="s">
        <v>31</v>
      </c>
      <c r="L207" s="3" t="s">
        <v>39</v>
      </c>
      <c r="M207" s="3" t="s">
        <v>40</v>
      </c>
      <c r="N207" s="3" t="s">
        <v>181</v>
      </c>
      <c r="O207" s="3"/>
      <c r="P207" s="3"/>
      <c r="Q207" s="3"/>
      <c r="R207" s="3"/>
      <c r="S207" s="3"/>
      <c r="T207" s="3"/>
      <c r="U207" s="3">
        <v>330</v>
      </c>
      <c r="V207" s="4">
        <v>42891</v>
      </c>
      <c r="W207" s="3" t="s">
        <v>33</v>
      </c>
      <c r="X207" s="3" t="s">
        <v>1018</v>
      </c>
    </row>
    <row r="208" spans="1:24" ht="27.95" x14ac:dyDescent="0.3">
      <c r="A208" s="3">
        <v>202</v>
      </c>
      <c r="B208" s="3" t="str">
        <f>"201900126053"</f>
        <v>201900126053</v>
      </c>
      <c r="C208" s="3">
        <v>107467</v>
      </c>
      <c r="D208" s="3" t="s">
        <v>1021</v>
      </c>
      <c r="E208" s="3">
        <v>10803494814</v>
      </c>
      <c r="F208" s="3" t="s">
        <v>1022</v>
      </c>
      <c r="G208" s="3" t="s">
        <v>1023</v>
      </c>
      <c r="H208" s="3" t="s">
        <v>73</v>
      </c>
      <c r="I208" s="3" t="s">
        <v>674</v>
      </c>
      <c r="J208" s="3" t="s">
        <v>675</v>
      </c>
      <c r="K208" s="3" t="s">
        <v>31</v>
      </c>
      <c r="L208" s="3" t="s">
        <v>57</v>
      </c>
      <c r="M208" s="3"/>
      <c r="N208" s="3"/>
      <c r="O208" s="3"/>
      <c r="P208" s="3"/>
      <c r="Q208" s="3"/>
      <c r="R208" s="3"/>
      <c r="S208" s="3"/>
      <c r="T208" s="3"/>
      <c r="U208" s="3">
        <v>715</v>
      </c>
      <c r="V208" s="4">
        <v>43682</v>
      </c>
      <c r="W208" s="3" t="s">
        <v>33</v>
      </c>
      <c r="X208" s="3" t="s">
        <v>1022</v>
      </c>
    </row>
    <row r="209" spans="1:24" ht="27.95" x14ac:dyDescent="0.3">
      <c r="A209" s="3">
        <v>203</v>
      </c>
      <c r="B209" s="3" t="str">
        <f>"201500058906"</f>
        <v>201500058906</v>
      </c>
      <c r="C209" s="3">
        <v>112698</v>
      </c>
      <c r="D209" s="3" t="s">
        <v>1024</v>
      </c>
      <c r="E209" s="3">
        <v>10010596543</v>
      </c>
      <c r="F209" s="3" t="s">
        <v>1025</v>
      </c>
      <c r="G209" s="3" t="s">
        <v>1026</v>
      </c>
      <c r="H209" s="3" t="s">
        <v>233</v>
      </c>
      <c r="I209" s="3" t="s">
        <v>559</v>
      </c>
      <c r="J209" s="3" t="s">
        <v>1027</v>
      </c>
      <c r="K209" s="3" t="s">
        <v>31</v>
      </c>
      <c r="L209" s="3" t="s">
        <v>1028</v>
      </c>
      <c r="M209" s="3"/>
      <c r="N209" s="3"/>
      <c r="O209" s="3"/>
      <c r="P209" s="3"/>
      <c r="Q209" s="3"/>
      <c r="R209" s="3"/>
      <c r="S209" s="3"/>
      <c r="T209" s="3"/>
      <c r="U209" s="3">
        <v>165</v>
      </c>
      <c r="V209" s="4">
        <v>42139</v>
      </c>
      <c r="W209" s="3" t="s">
        <v>33</v>
      </c>
      <c r="X209" s="3" t="s">
        <v>1025</v>
      </c>
    </row>
    <row r="210" spans="1:24" ht="27.95" x14ac:dyDescent="0.3">
      <c r="A210" s="3">
        <v>204</v>
      </c>
      <c r="B210" s="3" t="str">
        <f>"201700220246"</f>
        <v>201700220246</v>
      </c>
      <c r="C210" s="3">
        <v>36446</v>
      </c>
      <c r="D210" s="3" t="s">
        <v>1029</v>
      </c>
      <c r="E210" s="3">
        <v>10016818211</v>
      </c>
      <c r="F210" s="3" t="s">
        <v>1030</v>
      </c>
      <c r="G210" s="3" t="s">
        <v>1031</v>
      </c>
      <c r="H210" s="3" t="s">
        <v>45</v>
      </c>
      <c r="I210" s="3" t="s">
        <v>119</v>
      </c>
      <c r="J210" s="3" t="s">
        <v>519</v>
      </c>
      <c r="K210" s="3" t="s">
        <v>31</v>
      </c>
      <c r="L210" s="3" t="s">
        <v>340</v>
      </c>
      <c r="M210" s="3"/>
      <c r="N210" s="3"/>
      <c r="O210" s="3"/>
      <c r="P210" s="3"/>
      <c r="Q210" s="3"/>
      <c r="R210" s="3"/>
      <c r="S210" s="3"/>
      <c r="T210" s="3"/>
      <c r="U210" s="3">
        <v>715</v>
      </c>
      <c r="V210" s="4">
        <v>43108</v>
      </c>
      <c r="W210" s="3" t="s">
        <v>33</v>
      </c>
      <c r="X210" s="3" t="s">
        <v>1030</v>
      </c>
    </row>
    <row r="211" spans="1:24" ht="27.95" x14ac:dyDescent="0.3">
      <c r="A211" s="3">
        <v>205</v>
      </c>
      <c r="B211" s="3" t="str">
        <f>"201000001469"</f>
        <v>201000001469</v>
      </c>
      <c r="C211" s="3">
        <v>40165</v>
      </c>
      <c r="D211" s="3" t="s">
        <v>1032</v>
      </c>
      <c r="E211" s="3">
        <v>10052326724</v>
      </c>
      <c r="F211" s="3" t="s">
        <v>1033</v>
      </c>
      <c r="G211" s="3" t="s">
        <v>1034</v>
      </c>
      <c r="H211" s="3" t="s">
        <v>84</v>
      </c>
      <c r="I211" s="3" t="s">
        <v>308</v>
      </c>
      <c r="J211" s="3" t="s">
        <v>1035</v>
      </c>
      <c r="K211" s="3" t="s">
        <v>31</v>
      </c>
      <c r="L211" s="3" t="s">
        <v>1036</v>
      </c>
      <c r="M211" s="3" t="s">
        <v>50</v>
      </c>
      <c r="N211" s="3"/>
      <c r="O211" s="3"/>
      <c r="P211" s="3"/>
      <c r="Q211" s="3"/>
      <c r="R211" s="3"/>
      <c r="S211" s="3"/>
      <c r="T211" s="3"/>
      <c r="U211" s="3">
        <v>627</v>
      </c>
      <c r="V211" s="4">
        <v>38045</v>
      </c>
      <c r="W211" s="3" t="s">
        <v>33</v>
      </c>
      <c r="X211" s="3" t="s">
        <v>1037</v>
      </c>
    </row>
    <row r="212" spans="1:24" ht="27.95" x14ac:dyDescent="0.3">
      <c r="A212" s="3">
        <v>206</v>
      </c>
      <c r="B212" s="3" t="str">
        <f>"201000001466"</f>
        <v>201000001466</v>
      </c>
      <c r="C212" s="3">
        <v>17941</v>
      </c>
      <c r="D212" s="3" t="s">
        <v>1038</v>
      </c>
      <c r="E212" s="3">
        <v>10014874122</v>
      </c>
      <c r="F212" s="3" t="s">
        <v>1039</v>
      </c>
      <c r="G212" s="3" t="s">
        <v>1040</v>
      </c>
      <c r="H212" s="3" t="s">
        <v>45</v>
      </c>
      <c r="I212" s="3" t="s">
        <v>46</v>
      </c>
      <c r="J212" s="3" t="s">
        <v>46</v>
      </c>
      <c r="K212" s="3" t="s">
        <v>31</v>
      </c>
      <c r="L212" s="3" t="s">
        <v>50</v>
      </c>
      <c r="M212" s="3" t="s">
        <v>139</v>
      </c>
      <c r="N212" s="3" t="s">
        <v>164</v>
      </c>
      <c r="O212" s="3"/>
      <c r="P212" s="3"/>
      <c r="Q212" s="3"/>
      <c r="R212" s="3"/>
      <c r="S212" s="3"/>
      <c r="T212" s="3"/>
      <c r="U212" s="3">
        <v>1100</v>
      </c>
      <c r="V212" s="4">
        <v>37242</v>
      </c>
      <c r="W212" s="3" t="s">
        <v>33</v>
      </c>
      <c r="X212" s="3" t="s">
        <v>1041</v>
      </c>
    </row>
    <row r="213" spans="1:24" ht="27.95" x14ac:dyDescent="0.3">
      <c r="A213" s="3">
        <v>207</v>
      </c>
      <c r="B213" s="3" t="str">
        <f>"201800003462"</f>
        <v>201800003462</v>
      </c>
      <c r="C213" s="3">
        <v>64256</v>
      </c>
      <c r="D213" s="3" t="s">
        <v>1042</v>
      </c>
      <c r="E213" s="3">
        <v>10024117656</v>
      </c>
      <c r="F213" s="3" t="s">
        <v>1043</v>
      </c>
      <c r="G213" s="3" t="s">
        <v>1044</v>
      </c>
      <c r="H213" s="3" t="s">
        <v>45</v>
      </c>
      <c r="I213" s="3" t="s">
        <v>328</v>
      </c>
      <c r="J213" s="3" t="s">
        <v>329</v>
      </c>
      <c r="K213" s="3" t="s">
        <v>31</v>
      </c>
      <c r="L213" s="3"/>
      <c r="M213" s="3"/>
      <c r="N213" s="3" t="s">
        <v>826</v>
      </c>
      <c r="O213" s="3" t="s">
        <v>236</v>
      </c>
      <c r="P213" s="3"/>
      <c r="Q213" s="3"/>
      <c r="R213" s="3"/>
      <c r="S213" s="3"/>
      <c r="T213" s="3"/>
      <c r="U213" s="3">
        <v>715</v>
      </c>
      <c r="V213" s="4">
        <v>43116</v>
      </c>
      <c r="W213" s="3" t="s">
        <v>33</v>
      </c>
      <c r="X213" s="3" t="s">
        <v>1043</v>
      </c>
    </row>
    <row r="214" spans="1:24" ht="27.95" x14ac:dyDescent="0.3">
      <c r="A214" s="3">
        <v>208</v>
      </c>
      <c r="B214" s="3" t="str">
        <f>"201300053475"</f>
        <v>201300053475</v>
      </c>
      <c r="C214" s="3">
        <v>19995</v>
      </c>
      <c r="D214" s="3" t="s">
        <v>1045</v>
      </c>
      <c r="E214" s="3">
        <v>10056209293</v>
      </c>
      <c r="F214" s="3" t="s">
        <v>1046</v>
      </c>
      <c r="G214" s="3" t="s">
        <v>1047</v>
      </c>
      <c r="H214" s="3" t="s">
        <v>84</v>
      </c>
      <c r="I214" s="3" t="s">
        <v>421</v>
      </c>
      <c r="J214" s="3" t="s">
        <v>422</v>
      </c>
      <c r="K214" s="3" t="s">
        <v>31</v>
      </c>
      <c r="L214" s="3" t="s">
        <v>87</v>
      </c>
      <c r="M214" s="3" t="s">
        <v>41</v>
      </c>
      <c r="N214" s="3"/>
      <c r="O214" s="3"/>
      <c r="P214" s="3"/>
      <c r="Q214" s="3"/>
      <c r="R214" s="3"/>
      <c r="S214" s="3"/>
      <c r="T214" s="3"/>
      <c r="U214" s="3">
        <v>330</v>
      </c>
      <c r="V214" s="4">
        <v>41353</v>
      </c>
      <c r="W214" s="3" t="s">
        <v>33</v>
      </c>
      <c r="X214" s="3" t="s">
        <v>1046</v>
      </c>
    </row>
    <row r="215" spans="1:24" ht="27.95" x14ac:dyDescent="0.3">
      <c r="A215" s="3">
        <v>209</v>
      </c>
      <c r="B215" s="3" t="str">
        <f>"201700220248"</f>
        <v>201700220248</v>
      </c>
      <c r="C215" s="3">
        <v>64354</v>
      </c>
      <c r="D215" s="3" t="s">
        <v>1048</v>
      </c>
      <c r="E215" s="3">
        <v>10706106010</v>
      </c>
      <c r="F215" s="3" t="s">
        <v>1049</v>
      </c>
      <c r="G215" s="3" t="s">
        <v>1050</v>
      </c>
      <c r="H215" s="3" t="s">
        <v>45</v>
      </c>
      <c r="I215" s="3" t="s">
        <v>45</v>
      </c>
      <c r="J215" s="3" t="s">
        <v>1051</v>
      </c>
      <c r="K215" s="3" t="s">
        <v>31</v>
      </c>
      <c r="L215" s="3"/>
      <c r="M215" s="3"/>
      <c r="N215" s="3" t="s">
        <v>826</v>
      </c>
      <c r="O215" s="3" t="s">
        <v>236</v>
      </c>
      <c r="P215" s="3"/>
      <c r="Q215" s="3"/>
      <c r="R215" s="3"/>
      <c r="S215" s="3"/>
      <c r="T215" s="3"/>
      <c r="U215" s="3">
        <v>715</v>
      </c>
      <c r="V215" s="4">
        <v>43108</v>
      </c>
      <c r="W215" s="3" t="s">
        <v>33</v>
      </c>
      <c r="X215" s="3" t="s">
        <v>1049</v>
      </c>
    </row>
    <row r="216" spans="1:24" ht="27.95" x14ac:dyDescent="0.3">
      <c r="A216" s="3">
        <v>210</v>
      </c>
      <c r="B216" s="3" t="str">
        <f>"201800003465"</f>
        <v>201800003465</v>
      </c>
      <c r="C216" s="3">
        <v>83482</v>
      </c>
      <c r="D216" s="3" t="s">
        <v>1052</v>
      </c>
      <c r="E216" s="3">
        <v>10025271586</v>
      </c>
      <c r="F216" s="3" t="s">
        <v>1053</v>
      </c>
      <c r="G216" s="3" t="s">
        <v>1054</v>
      </c>
      <c r="H216" s="3" t="s">
        <v>45</v>
      </c>
      <c r="I216" s="3" t="s">
        <v>668</v>
      </c>
      <c r="J216" s="3" t="s">
        <v>1055</v>
      </c>
      <c r="K216" s="3" t="s">
        <v>31</v>
      </c>
      <c r="L216" s="3" t="s">
        <v>182</v>
      </c>
      <c r="M216" s="3" t="s">
        <v>181</v>
      </c>
      <c r="N216" s="3" t="s">
        <v>826</v>
      </c>
      <c r="O216" s="3" t="s">
        <v>236</v>
      </c>
      <c r="P216" s="3"/>
      <c r="Q216" s="3"/>
      <c r="R216" s="3"/>
      <c r="S216" s="3"/>
      <c r="T216" s="3"/>
      <c r="U216" s="3">
        <v>715</v>
      </c>
      <c r="V216" s="4">
        <v>43116</v>
      </c>
      <c r="W216" s="3" t="s">
        <v>33</v>
      </c>
      <c r="X216" s="3" t="s">
        <v>1056</v>
      </c>
    </row>
    <row r="217" spans="1:24" ht="27.95" x14ac:dyDescent="0.3">
      <c r="A217" s="3">
        <v>211</v>
      </c>
      <c r="B217" s="3" t="str">
        <f>"202000066080"</f>
        <v>202000066080</v>
      </c>
      <c r="C217" s="3">
        <v>107835</v>
      </c>
      <c r="D217" s="3" t="s">
        <v>1057</v>
      </c>
      <c r="E217" s="3">
        <v>10010814931</v>
      </c>
      <c r="F217" s="3" t="s">
        <v>1058</v>
      </c>
      <c r="G217" s="3" t="s">
        <v>1059</v>
      </c>
      <c r="H217" s="3" t="s">
        <v>233</v>
      </c>
      <c r="I217" s="3" t="s">
        <v>504</v>
      </c>
      <c r="J217" s="3" t="s">
        <v>505</v>
      </c>
      <c r="K217" s="3" t="s">
        <v>31</v>
      </c>
      <c r="L217" s="3" t="s">
        <v>889</v>
      </c>
      <c r="M217" s="3" t="s">
        <v>87</v>
      </c>
      <c r="N217" s="3" t="s">
        <v>264</v>
      </c>
      <c r="O217" s="3"/>
      <c r="P217" s="3"/>
      <c r="Q217" s="3"/>
      <c r="R217" s="3"/>
      <c r="S217" s="3"/>
      <c r="T217" s="3"/>
      <c r="U217" s="3">
        <v>330</v>
      </c>
      <c r="V217" s="4">
        <v>44007</v>
      </c>
      <c r="W217" s="3" t="s">
        <v>33</v>
      </c>
      <c r="X217" s="3" t="s">
        <v>1058</v>
      </c>
    </row>
    <row r="218" spans="1:24" ht="27.95" x14ac:dyDescent="0.3">
      <c r="A218" s="3">
        <v>212</v>
      </c>
      <c r="B218" s="3" t="str">
        <f>"201800035514"</f>
        <v>201800035514</v>
      </c>
      <c r="C218" s="3">
        <v>116977</v>
      </c>
      <c r="D218" s="3" t="s">
        <v>1060</v>
      </c>
      <c r="E218" s="3">
        <v>10016946490</v>
      </c>
      <c r="F218" s="3" t="s">
        <v>1061</v>
      </c>
      <c r="G218" s="3" t="s">
        <v>1062</v>
      </c>
      <c r="H218" s="3" t="s">
        <v>45</v>
      </c>
      <c r="I218" s="3" t="s">
        <v>119</v>
      </c>
      <c r="J218" s="3" t="s">
        <v>1063</v>
      </c>
      <c r="K218" s="3" t="s">
        <v>31</v>
      </c>
      <c r="L218" s="3"/>
      <c r="M218" s="3"/>
      <c r="N218" s="3" t="s">
        <v>340</v>
      </c>
      <c r="O218" s="3"/>
      <c r="P218" s="3"/>
      <c r="Q218" s="3"/>
      <c r="R218" s="3"/>
      <c r="S218" s="3"/>
      <c r="T218" s="3"/>
      <c r="U218" s="3">
        <v>715</v>
      </c>
      <c r="V218" s="4">
        <v>43165</v>
      </c>
      <c r="W218" s="3" t="s">
        <v>33</v>
      </c>
      <c r="X218" s="3" t="s">
        <v>1061</v>
      </c>
    </row>
    <row r="219" spans="1:24" ht="27.95" x14ac:dyDescent="0.3">
      <c r="A219" s="3">
        <v>213</v>
      </c>
      <c r="B219" s="3" t="str">
        <f>"201800193669"</f>
        <v>201800193669</v>
      </c>
      <c r="C219" s="3">
        <v>139839</v>
      </c>
      <c r="D219" s="3" t="s">
        <v>1064</v>
      </c>
      <c r="E219" s="3">
        <v>20602542964</v>
      </c>
      <c r="F219" s="3" t="s">
        <v>1065</v>
      </c>
      <c r="G219" s="3" t="s">
        <v>1066</v>
      </c>
      <c r="H219" s="3" t="s">
        <v>233</v>
      </c>
      <c r="I219" s="3" t="s">
        <v>1067</v>
      </c>
      <c r="J219" s="3" t="s">
        <v>1068</v>
      </c>
      <c r="K219" s="3" t="s">
        <v>31</v>
      </c>
      <c r="L219" s="3" t="s">
        <v>237</v>
      </c>
      <c r="M219" s="3" t="s">
        <v>50</v>
      </c>
      <c r="N219" s="3" t="s">
        <v>41</v>
      </c>
      <c r="O219" s="3"/>
      <c r="P219" s="3"/>
      <c r="Q219" s="3"/>
      <c r="R219" s="3"/>
      <c r="S219" s="3"/>
      <c r="T219" s="3"/>
      <c r="U219" s="3">
        <v>385</v>
      </c>
      <c r="V219" s="4">
        <v>43431</v>
      </c>
      <c r="W219" s="3" t="s">
        <v>33</v>
      </c>
      <c r="X219" s="3" t="s">
        <v>1069</v>
      </c>
    </row>
    <row r="220" spans="1:24" ht="27.95" x14ac:dyDescent="0.3">
      <c r="A220" s="3">
        <v>214</v>
      </c>
      <c r="B220" s="3" t="str">
        <f>"201500026011"</f>
        <v>201500026011</v>
      </c>
      <c r="C220" s="3">
        <v>114117</v>
      </c>
      <c r="D220" s="3" t="s">
        <v>1070</v>
      </c>
      <c r="E220" s="3">
        <v>10227555896</v>
      </c>
      <c r="F220" s="3" t="s">
        <v>1071</v>
      </c>
      <c r="G220" s="3" t="s">
        <v>1072</v>
      </c>
      <c r="H220" s="3" t="s">
        <v>73</v>
      </c>
      <c r="I220" s="3" t="s">
        <v>74</v>
      </c>
      <c r="J220" s="3" t="s">
        <v>75</v>
      </c>
      <c r="K220" s="3" t="s">
        <v>31</v>
      </c>
      <c r="L220" s="3" t="s">
        <v>41</v>
      </c>
      <c r="M220" s="3" t="s">
        <v>40</v>
      </c>
      <c r="N220" s="3" t="s">
        <v>39</v>
      </c>
      <c r="O220" s="3"/>
      <c r="P220" s="3"/>
      <c r="Q220" s="3"/>
      <c r="R220" s="3"/>
      <c r="S220" s="3"/>
      <c r="T220" s="3"/>
      <c r="U220" s="3">
        <v>330</v>
      </c>
      <c r="V220" s="4">
        <v>42088</v>
      </c>
      <c r="W220" s="3" t="s">
        <v>33</v>
      </c>
      <c r="X220" s="3" t="s">
        <v>1071</v>
      </c>
    </row>
    <row r="221" spans="1:24" ht="27.95" x14ac:dyDescent="0.3">
      <c r="A221" s="3">
        <v>215</v>
      </c>
      <c r="B221" s="3" t="str">
        <f>"201700059963"</f>
        <v>201700059963</v>
      </c>
      <c r="C221" s="3">
        <v>119167</v>
      </c>
      <c r="D221" s="3" t="s">
        <v>1073</v>
      </c>
      <c r="E221" s="3">
        <v>10225007379</v>
      </c>
      <c r="F221" s="3" t="s">
        <v>1074</v>
      </c>
      <c r="G221" s="3" t="s">
        <v>1075</v>
      </c>
      <c r="H221" s="3" t="s">
        <v>73</v>
      </c>
      <c r="I221" s="3" t="s">
        <v>73</v>
      </c>
      <c r="J221" s="3" t="s">
        <v>1076</v>
      </c>
      <c r="K221" s="3" t="s">
        <v>31</v>
      </c>
      <c r="L221" s="3"/>
      <c r="M221" s="3" t="s">
        <v>40</v>
      </c>
      <c r="N221" s="3" t="s">
        <v>39</v>
      </c>
      <c r="O221" s="3" t="s">
        <v>181</v>
      </c>
      <c r="P221" s="3"/>
      <c r="Q221" s="3"/>
      <c r="R221" s="3"/>
      <c r="S221" s="3"/>
      <c r="T221" s="3"/>
      <c r="U221" s="3">
        <v>330</v>
      </c>
      <c r="V221" s="4">
        <v>42853</v>
      </c>
      <c r="W221" s="3" t="s">
        <v>33</v>
      </c>
      <c r="X221" s="3" t="s">
        <v>1074</v>
      </c>
    </row>
    <row r="222" spans="1:24" ht="27.95" x14ac:dyDescent="0.3">
      <c r="A222" s="3">
        <v>216</v>
      </c>
      <c r="B222" s="3" t="str">
        <f>"201900203888"</f>
        <v>201900203888</v>
      </c>
      <c r="C222" s="3">
        <v>148221</v>
      </c>
      <c r="D222" s="3" t="s">
        <v>1077</v>
      </c>
      <c r="E222" s="3">
        <v>10333228331</v>
      </c>
      <c r="F222" s="3" t="s">
        <v>1078</v>
      </c>
      <c r="G222" s="3" t="s">
        <v>1079</v>
      </c>
      <c r="H222" s="3" t="s">
        <v>514</v>
      </c>
      <c r="I222" s="3" t="s">
        <v>515</v>
      </c>
      <c r="J222" s="3" t="s">
        <v>515</v>
      </c>
      <c r="K222" s="3" t="s">
        <v>31</v>
      </c>
      <c r="L222" s="3"/>
      <c r="M222" s="3"/>
      <c r="N222" s="3" t="s">
        <v>236</v>
      </c>
      <c r="O222" s="3" t="s">
        <v>644</v>
      </c>
      <c r="P222" s="3"/>
      <c r="Q222" s="3"/>
      <c r="R222" s="3"/>
      <c r="S222" s="3"/>
      <c r="T222" s="3"/>
      <c r="U222" s="3">
        <v>715</v>
      </c>
      <c r="V222" s="4">
        <v>43811</v>
      </c>
      <c r="W222" s="3" t="s">
        <v>33</v>
      </c>
      <c r="X222" s="3" t="s">
        <v>1078</v>
      </c>
    </row>
    <row r="223" spans="1:24" ht="27.95" x14ac:dyDescent="0.3">
      <c r="A223" s="3">
        <v>217</v>
      </c>
      <c r="B223" s="3" t="str">
        <f>"201600089990"</f>
        <v>201600089990</v>
      </c>
      <c r="C223" s="3">
        <v>21685</v>
      </c>
      <c r="D223" s="3" t="s">
        <v>1080</v>
      </c>
      <c r="E223" s="3">
        <v>10413772490</v>
      </c>
      <c r="F223" s="3" t="s">
        <v>1081</v>
      </c>
      <c r="G223" s="3" t="s">
        <v>1082</v>
      </c>
      <c r="H223" s="3" t="s">
        <v>28</v>
      </c>
      <c r="I223" s="3" t="s">
        <v>565</v>
      </c>
      <c r="J223" s="3" t="s">
        <v>566</v>
      </c>
      <c r="K223" s="3" t="s">
        <v>31</v>
      </c>
      <c r="L223" s="3"/>
      <c r="M223" s="3"/>
      <c r="N223" s="3"/>
      <c r="O223" s="3"/>
      <c r="P223" s="3"/>
      <c r="Q223" s="3" t="s">
        <v>182</v>
      </c>
      <c r="R223" s="3" t="s">
        <v>64</v>
      </c>
      <c r="S223" s="3"/>
      <c r="T223" s="3"/>
      <c r="U223" s="3">
        <v>330</v>
      </c>
      <c r="V223" s="4">
        <v>42560</v>
      </c>
      <c r="W223" s="3" t="s">
        <v>33</v>
      </c>
      <c r="X223" s="3" t="s">
        <v>1081</v>
      </c>
    </row>
    <row r="224" spans="1:24" ht="27.95" x14ac:dyDescent="0.3">
      <c r="A224" s="3">
        <v>218</v>
      </c>
      <c r="B224" s="3" t="str">
        <f>"201600012230"</f>
        <v>201600012230</v>
      </c>
      <c r="C224" s="3">
        <v>118047</v>
      </c>
      <c r="D224" s="3" t="s">
        <v>1083</v>
      </c>
      <c r="E224" s="3">
        <v>10452433015</v>
      </c>
      <c r="F224" s="3" t="s">
        <v>1084</v>
      </c>
      <c r="G224" s="3" t="s">
        <v>1085</v>
      </c>
      <c r="H224" s="3" t="s">
        <v>233</v>
      </c>
      <c r="I224" s="3" t="s">
        <v>234</v>
      </c>
      <c r="J224" s="3" t="s">
        <v>234</v>
      </c>
      <c r="K224" s="3" t="s">
        <v>31</v>
      </c>
      <c r="L224" s="3" t="s">
        <v>830</v>
      </c>
      <c r="M224" s="3"/>
      <c r="N224" s="3"/>
      <c r="O224" s="3"/>
      <c r="P224" s="3"/>
      <c r="Q224" s="3"/>
      <c r="R224" s="3"/>
      <c r="S224" s="3"/>
      <c r="T224" s="3"/>
      <c r="U224" s="3">
        <v>330</v>
      </c>
      <c r="V224" s="4">
        <v>42410</v>
      </c>
      <c r="W224" s="3" t="s">
        <v>33</v>
      </c>
      <c r="X224" s="3" t="s">
        <v>1084</v>
      </c>
    </row>
    <row r="225" spans="1:24" ht="27.95" x14ac:dyDescent="0.3">
      <c r="A225" s="3">
        <v>219</v>
      </c>
      <c r="B225" s="3" t="str">
        <f>"201900120117"</f>
        <v>201900120117</v>
      </c>
      <c r="C225" s="3">
        <v>145432</v>
      </c>
      <c r="D225" s="3" t="s">
        <v>1086</v>
      </c>
      <c r="E225" s="3">
        <v>10424122730</v>
      </c>
      <c r="F225" s="3" t="s">
        <v>1087</v>
      </c>
      <c r="G225" s="3" t="s">
        <v>1088</v>
      </c>
      <c r="H225" s="3" t="s">
        <v>194</v>
      </c>
      <c r="I225" s="3" t="s">
        <v>195</v>
      </c>
      <c r="J225" s="3" t="s">
        <v>547</v>
      </c>
      <c r="K225" s="3" t="s">
        <v>31</v>
      </c>
      <c r="L225" s="3" t="s">
        <v>1089</v>
      </c>
      <c r="M225" s="3"/>
      <c r="N225" s="3"/>
      <c r="O225" s="3"/>
      <c r="P225" s="3"/>
      <c r="Q225" s="3"/>
      <c r="R225" s="3"/>
      <c r="S225" s="3"/>
      <c r="T225" s="3"/>
      <c r="U225" s="3">
        <v>0</v>
      </c>
      <c r="V225" s="4">
        <v>43672</v>
      </c>
      <c r="W225" s="3" t="s">
        <v>33</v>
      </c>
      <c r="X225" s="3" t="s">
        <v>1087</v>
      </c>
    </row>
    <row r="226" spans="1:24" ht="27.95" x14ac:dyDescent="0.3">
      <c r="A226" s="3">
        <v>220</v>
      </c>
      <c r="B226" s="3" t="str">
        <f>"201300042014"</f>
        <v>201300042014</v>
      </c>
      <c r="C226" s="3">
        <v>97104</v>
      </c>
      <c r="D226" s="3" t="s">
        <v>1090</v>
      </c>
      <c r="E226" s="3">
        <v>10434036114</v>
      </c>
      <c r="F226" s="3" t="s">
        <v>1091</v>
      </c>
      <c r="G226" s="3" t="s">
        <v>1092</v>
      </c>
      <c r="H226" s="3" t="s">
        <v>45</v>
      </c>
      <c r="I226" s="3" t="s">
        <v>448</v>
      </c>
      <c r="J226" s="3" t="s">
        <v>1093</v>
      </c>
      <c r="K226" s="3" t="s">
        <v>31</v>
      </c>
      <c r="L226" s="3" t="s">
        <v>182</v>
      </c>
      <c r="M226" s="3" t="s">
        <v>181</v>
      </c>
      <c r="N226" s="3"/>
      <c r="O226" s="3"/>
      <c r="P226" s="3"/>
      <c r="Q226" s="3"/>
      <c r="R226" s="3"/>
      <c r="S226" s="3"/>
      <c r="T226" s="3"/>
      <c r="U226" s="3">
        <v>330</v>
      </c>
      <c r="V226" s="4">
        <v>41335</v>
      </c>
      <c r="W226" s="3" t="s">
        <v>33</v>
      </c>
      <c r="X226" s="3" t="s">
        <v>1091</v>
      </c>
    </row>
    <row r="227" spans="1:24" ht="27.95" x14ac:dyDescent="0.3">
      <c r="A227" s="3">
        <v>221</v>
      </c>
      <c r="B227" s="3" t="str">
        <f>"1858108"</f>
        <v>1858108</v>
      </c>
      <c r="C227" s="3">
        <v>40682</v>
      </c>
      <c r="D227" s="3" t="s">
        <v>1094</v>
      </c>
      <c r="E227" s="3">
        <v>20493780507</v>
      </c>
      <c r="F227" s="3" t="s">
        <v>1095</v>
      </c>
      <c r="G227" s="3" t="s">
        <v>1096</v>
      </c>
      <c r="H227" s="3" t="s">
        <v>84</v>
      </c>
      <c r="I227" s="3" t="s">
        <v>421</v>
      </c>
      <c r="J227" s="3" t="s">
        <v>422</v>
      </c>
      <c r="K227" s="3" t="s">
        <v>31</v>
      </c>
      <c r="L227" s="3" t="s">
        <v>1097</v>
      </c>
      <c r="M227" s="3" t="s">
        <v>269</v>
      </c>
      <c r="N227" s="3" t="s">
        <v>108</v>
      </c>
      <c r="O227" s="3"/>
      <c r="P227" s="3"/>
      <c r="Q227" s="3"/>
      <c r="R227" s="3"/>
      <c r="S227" s="3"/>
      <c r="T227" s="3"/>
      <c r="U227" s="3">
        <v>741</v>
      </c>
      <c r="V227" s="4">
        <v>39843</v>
      </c>
      <c r="W227" s="3" t="s">
        <v>33</v>
      </c>
      <c r="X227" s="3" t="s">
        <v>1098</v>
      </c>
    </row>
    <row r="228" spans="1:24" ht="27.95" x14ac:dyDescent="0.3">
      <c r="A228" s="3">
        <v>222</v>
      </c>
      <c r="B228" s="3" t="str">
        <f>"201800212117"</f>
        <v>201800212117</v>
      </c>
      <c r="C228" s="3">
        <v>140483</v>
      </c>
      <c r="D228" s="3" t="s">
        <v>1099</v>
      </c>
      <c r="E228" s="3">
        <v>10460727419</v>
      </c>
      <c r="F228" s="3" t="s">
        <v>1100</v>
      </c>
      <c r="G228" s="3" t="s">
        <v>1101</v>
      </c>
      <c r="H228" s="3" t="s">
        <v>514</v>
      </c>
      <c r="I228" s="3" t="s">
        <v>1102</v>
      </c>
      <c r="J228" s="3" t="s">
        <v>1103</v>
      </c>
      <c r="K228" s="3" t="s">
        <v>31</v>
      </c>
      <c r="L228" s="3" t="s">
        <v>1104</v>
      </c>
      <c r="M228" s="3"/>
      <c r="N228" s="3"/>
      <c r="O228" s="3"/>
      <c r="P228" s="3"/>
      <c r="Q228" s="3"/>
      <c r="R228" s="3"/>
      <c r="S228" s="3"/>
      <c r="T228" s="3"/>
      <c r="U228" s="3">
        <v>330</v>
      </c>
      <c r="V228" s="4">
        <v>43455</v>
      </c>
      <c r="W228" s="3" t="s">
        <v>33</v>
      </c>
      <c r="X228" s="3" t="s">
        <v>1105</v>
      </c>
    </row>
    <row r="229" spans="1:24" ht="27.95" x14ac:dyDescent="0.3">
      <c r="A229" s="3">
        <v>223</v>
      </c>
      <c r="B229" s="3" t="str">
        <f>"201500137556"</f>
        <v>201500137556</v>
      </c>
      <c r="C229" s="3">
        <v>21155</v>
      </c>
      <c r="D229" s="3" t="s">
        <v>1106</v>
      </c>
      <c r="E229" s="3">
        <v>20447862736</v>
      </c>
      <c r="F229" s="3" t="s">
        <v>1107</v>
      </c>
      <c r="G229" s="3" t="s">
        <v>410</v>
      </c>
      <c r="H229" s="3" t="s">
        <v>45</v>
      </c>
      <c r="I229" s="3" t="s">
        <v>46</v>
      </c>
      <c r="J229" s="3" t="s">
        <v>411</v>
      </c>
      <c r="K229" s="3" t="s">
        <v>31</v>
      </c>
      <c r="L229" s="3" t="s">
        <v>182</v>
      </c>
      <c r="M229" s="3" t="s">
        <v>64</v>
      </c>
      <c r="N229" s="3"/>
      <c r="O229" s="3"/>
      <c r="P229" s="3"/>
      <c r="Q229" s="3"/>
      <c r="R229" s="3"/>
      <c r="S229" s="3"/>
      <c r="T229" s="3"/>
      <c r="U229" s="3">
        <v>330</v>
      </c>
      <c r="V229" s="4">
        <v>42300</v>
      </c>
      <c r="W229" s="3" t="s">
        <v>33</v>
      </c>
      <c r="X229" s="3" t="s">
        <v>1108</v>
      </c>
    </row>
    <row r="230" spans="1:24" ht="27.95" x14ac:dyDescent="0.3">
      <c r="A230" s="3">
        <v>224</v>
      </c>
      <c r="B230" s="3" t="str">
        <f>"201300064151"</f>
        <v>201300064151</v>
      </c>
      <c r="C230" s="3">
        <v>34322</v>
      </c>
      <c r="D230" s="3" t="s">
        <v>1109</v>
      </c>
      <c r="E230" s="3">
        <v>10431199748</v>
      </c>
      <c r="F230" s="3" t="s">
        <v>1110</v>
      </c>
      <c r="G230" s="3" t="s">
        <v>1111</v>
      </c>
      <c r="H230" s="3" t="s">
        <v>45</v>
      </c>
      <c r="I230" s="3" t="s">
        <v>45</v>
      </c>
      <c r="J230" s="3" t="s">
        <v>1112</v>
      </c>
      <c r="K230" s="3" t="s">
        <v>31</v>
      </c>
      <c r="L230" s="3" t="s">
        <v>182</v>
      </c>
      <c r="M230" s="3" t="s">
        <v>181</v>
      </c>
      <c r="N230" s="3"/>
      <c r="O230" s="3"/>
      <c r="P230" s="3"/>
      <c r="Q230" s="3"/>
      <c r="R230" s="3"/>
      <c r="S230" s="3"/>
      <c r="T230" s="3"/>
      <c r="U230" s="3">
        <v>330</v>
      </c>
      <c r="V230" s="4">
        <v>41374</v>
      </c>
      <c r="W230" s="3" t="s">
        <v>33</v>
      </c>
      <c r="X230" s="3" t="s">
        <v>1110</v>
      </c>
    </row>
    <row r="231" spans="1:24" ht="27.95" x14ac:dyDescent="0.3">
      <c r="A231" s="3">
        <v>225</v>
      </c>
      <c r="B231" s="3" t="str">
        <f>"201800079532"</f>
        <v>201800079532</v>
      </c>
      <c r="C231" s="3">
        <v>136140</v>
      </c>
      <c r="D231" s="3" t="s">
        <v>1113</v>
      </c>
      <c r="E231" s="3">
        <v>10400835433</v>
      </c>
      <c r="F231" s="3" t="s">
        <v>1114</v>
      </c>
      <c r="G231" s="3" t="s">
        <v>1115</v>
      </c>
      <c r="H231" s="3" t="s">
        <v>233</v>
      </c>
      <c r="I231" s="3" t="s">
        <v>1067</v>
      </c>
      <c r="J231" s="3" t="s">
        <v>1116</v>
      </c>
      <c r="K231" s="3" t="s">
        <v>31</v>
      </c>
      <c r="L231" s="3" t="s">
        <v>50</v>
      </c>
      <c r="M231" s="3" t="s">
        <v>237</v>
      </c>
      <c r="N231" s="3" t="s">
        <v>791</v>
      </c>
      <c r="O231" s="3"/>
      <c r="P231" s="3"/>
      <c r="Q231" s="3"/>
      <c r="R231" s="3"/>
      <c r="S231" s="3"/>
      <c r="T231" s="3"/>
      <c r="U231" s="3">
        <v>330</v>
      </c>
      <c r="V231" s="4">
        <v>43233</v>
      </c>
      <c r="W231" s="3" t="s">
        <v>33</v>
      </c>
      <c r="X231" s="3" t="s">
        <v>1114</v>
      </c>
    </row>
    <row r="232" spans="1:24" ht="27.95" x14ac:dyDescent="0.3">
      <c r="A232" s="3">
        <v>226</v>
      </c>
      <c r="B232" s="3" t="str">
        <f>"201300045628"</f>
        <v>201300045628</v>
      </c>
      <c r="C232" s="3">
        <v>17937</v>
      </c>
      <c r="D232" s="3" t="s">
        <v>1117</v>
      </c>
      <c r="E232" s="3">
        <v>10018415815</v>
      </c>
      <c r="F232" s="3" t="s">
        <v>1118</v>
      </c>
      <c r="G232" s="3" t="s">
        <v>1119</v>
      </c>
      <c r="H232" s="3" t="s">
        <v>45</v>
      </c>
      <c r="I232" s="3" t="s">
        <v>440</v>
      </c>
      <c r="J232" s="3" t="s">
        <v>440</v>
      </c>
      <c r="K232" s="3" t="s">
        <v>31</v>
      </c>
      <c r="L232" s="3" t="s">
        <v>182</v>
      </c>
      <c r="M232" s="3" t="s">
        <v>181</v>
      </c>
      <c r="N232" s="3"/>
      <c r="O232" s="3"/>
      <c r="P232" s="3"/>
      <c r="Q232" s="3"/>
      <c r="R232" s="3"/>
      <c r="S232" s="3"/>
      <c r="T232" s="3"/>
      <c r="U232" s="3">
        <v>330</v>
      </c>
      <c r="V232" s="4">
        <v>41345</v>
      </c>
      <c r="W232" s="3" t="s">
        <v>33</v>
      </c>
      <c r="X232" s="3" t="s">
        <v>1118</v>
      </c>
    </row>
    <row r="233" spans="1:24" ht="41.95" x14ac:dyDescent="0.3">
      <c r="A233" s="3">
        <v>227</v>
      </c>
      <c r="B233" s="3" t="str">
        <f>"201600136314"</f>
        <v>201600136314</v>
      </c>
      <c r="C233" s="3">
        <v>122343</v>
      </c>
      <c r="D233" s="3" t="s">
        <v>1120</v>
      </c>
      <c r="E233" s="3">
        <v>10167022095</v>
      </c>
      <c r="F233" s="3" t="s">
        <v>1121</v>
      </c>
      <c r="G233" s="3" t="s">
        <v>1122</v>
      </c>
      <c r="H233" s="3" t="s">
        <v>788</v>
      </c>
      <c r="I233" s="3" t="s">
        <v>789</v>
      </c>
      <c r="J233" s="3" t="s">
        <v>790</v>
      </c>
      <c r="K233" s="3" t="s">
        <v>31</v>
      </c>
      <c r="L233" s="3"/>
      <c r="M233" s="3"/>
      <c r="N233" s="3"/>
      <c r="O233" s="3"/>
      <c r="P233" s="3"/>
      <c r="Q233" s="3"/>
      <c r="R233" s="3"/>
      <c r="S233" s="3"/>
      <c r="T233" s="3"/>
      <c r="U233" s="3">
        <v>330</v>
      </c>
      <c r="V233" s="4">
        <v>42636</v>
      </c>
      <c r="W233" s="3" t="s">
        <v>33</v>
      </c>
      <c r="X233" s="3" t="s">
        <v>1121</v>
      </c>
    </row>
    <row r="234" spans="1:24" ht="27.95" x14ac:dyDescent="0.3">
      <c r="A234" s="3">
        <v>228</v>
      </c>
      <c r="B234" s="3" t="str">
        <f>"1327531"</f>
        <v>1327531</v>
      </c>
      <c r="C234" s="3">
        <v>20057</v>
      </c>
      <c r="D234" s="3" t="s">
        <v>1123</v>
      </c>
      <c r="E234" s="3">
        <v>10018121901</v>
      </c>
      <c r="F234" s="3" t="s">
        <v>1124</v>
      </c>
      <c r="G234" s="3" t="s">
        <v>1125</v>
      </c>
      <c r="H234" s="3" t="s">
        <v>45</v>
      </c>
      <c r="I234" s="3" t="s">
        <v>105</v>
      </c>
      <c r="J234" s="3" t="s">
        <v>1126</v>
      </c>
      <c r="K234" s="3" t="s">
        <v>31</v>
      </c>
      <c r="L234" s="3" t="s">
        <v>139</v>
      </c>
      <c r="M234" s="3" t="s">
        <v>50</v>
      </c>
      <c r="N234" s="3" t="s">
        <v>164</v>
      </c>
      <c r="O234" s="3"/>
      <c r="P234" s="3"/>
      <c r="Q234" s="3"/>
      <c r="R234" s="3"/>
      <c r="S234" s="3"/>
      <c r="T234" s="3"/>
      <c r="U234" s="3">
        <v>440</v>
      </c>
      <c r="V234" s="4">
        <v>37070</v>
      </c>
      <c r="W234" s="3" t="s">
        <v>33</v>
      </c>
      <c r="X234" s="3" t="s">
        <v>1127</v>
      </c>
    </row>
    <row r="235" spans="1:24" ht="27.95" x14ac:dyDescent="0.3">
      <c r="A235" s="3">
        <v>229</v>
      </c>
      <c r="B235" s="3" t="str">
        <f>"1316630"</f>
        <v>1316630</v>
      </c>
      <c r="C235" s="3">
        <v>18395</v>
      </c>
      <c r="D235" s="3" t="s">
        <v>1128</v>
      </c>
      <c r="E235" s="3">
        <v>10022972133</v>
      </c>
      <c r="F235" s="3" t="s">
        <v>1129</v>
      </c>
      <c r="G235" s="3" t="s">
        <v>1130</v>
      </c>
      <c r="H235" s="3" t="s">
        <v>45</v>
      </c>
      <c r="I235" s="3" t="s">
        <v>352</v>
      </c>
      <c r="J235" s="3" t="s">
        <v>353</v>
      </c>
      <c r="K235" s="3" t="s">
        <v>31</v>
      </c>
      <c r="L235" s="3" t="s">
        <v>164</v>
      </c>
      <c r="M235" s="3" t="s">
        <v>1131</v>
      </c>
      <c r="N235" s="3" t="s">
        <v>139</v>
      </c>
      <c r="O235" s="3"/>
      <c r="P235" s="3"/>
      <c r="Q235" s="3"/>
      <c r="R235" s="3"/>
      <c r="S235" s="3"/>
      <c r="T235" s="3"/>
      <c r="U235" s="3">
        <v>440</v>
      </c>
      <c r="V235" s="4">
        <v>36999</v>
      </c>
      <c r="W235" s="3" t="s">
        <v>33</v>
      </c>
      <c r="X235" s="3" t="s">
        <v>1132</v>
      </c>
    </row>
    <row r="236" spans="1:24" ht="27.95" x14ac:dyDescent="0.3">
      <c r="A236" s="3">
        <v>230</v>
      </c>
      <c r="B236" s="3" t="str">
        <f>"201700214533"</f>
        <v>201700214533</v>
      </c>
      <c r="C236" s="3">
        <v>86014</v>
      </c>
      <c r="D236" s="3" t="s">
        <v>1133</v>
      </c>
      <c r="E236" s="3">
        <v>10023664424</v>
      </c>
      <c r="F236" s="3" t="s">
        <v>1134</v>
      </c>
      <c r="G236" s="3" t="s">
        <v>1135</v>
      </c>
      <c r="H236" s="3" t="s">
        <v>45</v>
      </c>
      <c r="I236" s="3" t="s">
        <v>46</v>
      </c>
      <c r="J236" s="3" t="s">
        <v>339</v>
      </c>
      <c r="K236" s="3" t="s">
        <v>31</v>
      </c>
      <c r="L236" s="3"/>
      <c r="M236" s="3"/>
      <c r="N236" s="3" t="s">
        <v>826</v>
      </c>
      <c r="O236" s="3" t="s">
        <v>236</v>
      </c>
      <c r="P236" s="3"/>
      <c r="Q236" s="3"/>
      <c r="R236" s="3"/>
      <c r="S236" s="3"/>
      <c r="T236" s="3"/>
      <c r="U236" s="3">
        <v>715</v>
      </c>
      <c r="V236" s="4">
        <v>43088</v>
      </c>
      <c r="W236" s="3" t="s">
        <v>33</v>
      </c>
      <c r="X236" s="3" t="s">
        <v>1134</v>
      </c>
    </row>
    <row r="237" spans="1:24" ht="27.95" x14ac:dyDescent="0.3">
      <c r="A237" s="3">
        <v>231</v>
      </c>
      <c r="B237" s="3" t="str">
        <f>"1558833"</f>
        <v>1558833</v>
      </c>
      <c r="C237" s="3">
        <v>41099</v>
      </c>
      <c r="D237" s="3" t="s">
        <v>1136</v>
      </c>
      <c r="E237" s="3">
        <v>10017782016</v>
      </c>
      <c r="F237" s="3" t="s">
        <v>1137</v>
      </c>
      <c r="G237" s="3" t="s">
        <v>1138</v>
      </c>
      <c r="H237" s="3" t="s">
        <v>45</v>
      </c>
      <c r="I237" s="3" t="s">
        <v>214</v>
      </c>
      <c r="J237" s="3" t="s">
        <v>215</v>
      </c>
      <c r="K237" s="3" t="s">
        <v>31</v>
      </c>
      <c r="L237" s="3" t="s">
        <v>50</v>
      </c>
      <c r="M237" s="3" t="s">
        <v>107</v>
      </c>
      <c r="N237" s="3" t="s">
        <v>733</v>
      </c>
      <c r="O237" s="3"/>
      <c r="P237" s="3"/>
      <c r="Q237" s="3"/>
      <c r="R237" s="3"/>
      <c r="S237" s="3"/>
      <c r="T237" s="3"/>
      <c r="U237" s="3">
        <v>285</v>
      </c>
      <c r="V237" s="4">
        <v>38582</v>
      </c>
      <c r="W237" s="3" t="s">
        <v>33</v>
      </c>
      <c r="X237" s="3" t="s">
        <v>1139</v>
      </c>
    </row>
    <row r="238" spans="1:24" ht="27.95" x14ac:dyDescent="0.3">
      <c r="A238" s="3">
        <v>232</v>
      </c>
      <c r="B238" s="3" t="str">
        <f>"201900028406"</f>
        <v>201900028406</v>
      </c>
      <c r="C238" s="3">
        <v>134048</v>
      </c>
      <c r="D238" s="3" t="s">
        <v>1140</v>
      </c>
      <c r="E238" s="3">
        <v>10414751232</v>
      </c>
      <c r="F238" s="3" t="s">
        <v>1141</v>
      </c>
      <c r="G238" s="3" t="s">
        <v>1142</v>
      </c>
      <c r="H238" s="3" t="s">
        <v>45</v>
      </c>
      <c r="I238" s="3" t="s">
        <v>119</v>
      </c>
      <c r="J238" s="3" t="s">
        <v>1063</v>
      </c>
      <c r="K238" s="3" t="s">
        <v>31</v>
      </c>
      <c r="L238" s="3" t="s">
        <v>340</v>
      </c>
      <c r="M238" s="3"/>
      <c r="N238" s="3"/>
      <c r="O238" s="3"/>
      <c r="P238" s="3"/>
      <c r="Q238" s="3"/>
      <c r="R238" s="3"/>
      <c r="S238" s="3"/>
      <c r="T238" s="3"/>
      <c r="U238" s="3">
        <v>715</v>
      </c>
      <c r="V238" s="4">
        <v>43536</v>
      </c>
      <c r="W238" s="3" t="s">
        <v>33</v>
      </c>
      <c r="X238" s="3" t="s">
        <v>1141</v>
      </c>
    </row>
    <row r="239" spans="1:24" ht="27.95" x14ac:dyDescent="0.3">
      <c r="A239" s="3">
        <v>233</v>
      </c>
      <c r="B239" s="3" t="str">
        <f>"201700217452"</f>
        <v>201700217452</v>
      </c>
      <c r="C239" s="3">
        <v>96159</v>
      </c>
      <c r="D239" s="3" t="s">
        <v>1143</v>
      </c>
      <c r="E239" s="3">
        <v>10192245678</v>
      </c>
      <c r="F239" s="3" t="s">
        <v>1144</v>
      </c>
      <c r="G239" s="3" t="s">
        <v>1145</v>
      </c>
      <c r="H239" s="3" t="s">
        <v>498</v>
      </c>
      <c r="I239" s="3" t="s">
        <v>1146</v>
      </c>
      <c r="J239" s="3" t="s">
        <v>1147</v>
      </c>
      <c r="K239" s="3" t="s">
        <v>31</v>
      </c>
      <c r="L239" s="3"/>
      <c r="M239" s="3"/>
      <c r="N239" s="3"/>
      <c r="O239" s="3"/>
      <c r="P239" s="3"/>
      <c r="Q239" s="3"/>
      <c r="R239" s="3" t="s">
        <v>1148</v>
      </c>
      <c r="S239" s="3" t="s">
        <v>1149</v>
      </c>
      <c r="T239" s="3" t="s">
        <v>1150</v>
      </c>
      <c r="U239" s="3">
        <v>330</v>
      </c>
      <c r="V239" s="4">
        <v>43097</v>
      </c>
      <c r="W239" s="3" t="s">
        <v>33</v>
      </c>
      <c r="X239" s="3" t="s">
        <v>1144</v>
      </c>
    </row>
    <row r="240" spans="1:24" ht="27.95" x14ac:dyDescent="0.3">
      <c r="A240" s="3">
        <v>234</v>
      </c>
      <c r="B240" s="3" t="str">
        <f>"201500040839"</f>
        <v>201500040839</v>
      </c>
      <c r="C240" s="3">
        <v>106312</v>
      </c>
      <c r="D240" s="3" t="s">
        <v>1151</v>
      </c>
      <c r="E240" s="3">
        <v>10224629091</v>
      </c>
      <c r="F240" s="3" t="s">
        <v>1152</v>
      </c>
      <c r="G240" s="3" t="s">
        <v>1153</v>
      </c>
      <c r="H240" s="3" t="s">
        <v>73</v>
      </c>
      <c r="I240" s="3" t="s">
        <v>416</v>
      </c>
      <c r="J240" s="3" t="s">
        <v>976</v>
      </c>
      <c r="K240" s="3" t="s">
        <v>31</v>
      </c>
      <c r="L240" s="3"/>
      <c r="M240" s="3"/>
      <c r="N240" s="3" t="s">
        <v>65</v>
      </c>
      <c r="O240" s="3" t="s">
        <v>41</v>
      </c>
      <c r="P240" s="3"/>
      <c r="Q240" s="3"/>
      <c r="R240" s="3"/>
      <c r="S240" s="3"/>
      <c r="T240" s="3"/>
      <c r="U240" s="3">
        <v>330</v>
      </c>
      <c r="V240" s="4">
        <v>42124</v>
      </c>
      <c r="W240" s="3" t="s">
        <v>33</v>
      </c>
      <c r="X240" s="3" t="s">
        <v>1152</v>
      </c>
    </row>
    <row r="241" spans="1:24" ht="27.95" x14ac:dyDescent="0.3">
      <c r="A241" s="3">
        <v>235</v>
      </c>
      <c r="B241" s="3" t="str">
        <f>"201100173615"</f>
        <v>201100173615</v>
      </c>
      <c r="C241" s="3">
        <v>18809</v>
      </c>
      <c r="D241" s="3" t="s">
        <v>1154</v>
      </c>
      <c r="E241" s="3">
        <v>10023979468</v>
      </c>
      <c r="F241" s="3" t="s">
        <v>1155</v>
      </c>
      <c r="G241" s="3" t="s">
        <v>1156</v>
      </c>
      <c r="H241" s="3" t="s">
        <v>45</v>
      </c>
      <c r="I241" s="3" t="s">
        <v>252</v>
      </c>
      <c r="J241" s="3" t="s">
        <v>847</v>
      </c>
      <c r="K241" s="3" t="s">
        <v>31</v>
      </c>
      <c r="L241" s="3" t="s">
        <v>826</v>
      </c>
      <c r="M241" s="3" t="s">
        <v>500</v>
      </c>
      <c r="N241" s="3"/>
      <c r="O241" s="3"/>
      <c r="P241" s="3"/>
      <c r="Q241" s="3"/>
      <c r="R241" s="3"/>
      <c r="S241" s="3"/>
      <c r="T241" s="3"/>
      <c r="U241" s="3">
        <v>440</v>
      </c>
      <c r="V241" s="4">
        <v>40917</v>
      </c>
      <c r="W241" s="3" t="s">
        <v>33</v>
      </c>
      <c r="X241" s="3" t="s">
        <v>1155</v>
      </c>
    </row>
    <row r="242" spans="1:24" ht="27.95" x14ac:dyDescent="0.3">
      <c r="A242" s="3">
        <v>236</v>
      </c>
      <c r="B242" s="3" t="str">
        <f>"201300045727"</f>
        <v>201300045727</v>
      </c>
      <c r="C242" s="3">
        <v>40929</v>
      </c>
      <c r="D242" s="3" t="s">
        <v>1157</v>
      </c>
      <c r="E242" s="3">
        <v>10024203846</v>
      </c>
      <c r="F242" s="3" t="s">
        <v>1158</v>
      </c>
      <c r="G242" s="3" t="s">
        <v>1159</v>
      </c>
      <c r="H242" s="3" t="s">
        <v>45</v>
      </c>
      <c r="I242" s="3" t="s">
        <v>668</v>
      </c>
      <c r="J242" s="3" t="s">
        <v>669</v>
      </c>
      <c r="K242" s="3" t="s">
        <v>31</v>
      </c>
      <c r="L242" s="3" t="s">
        <v>182</v>
      </c>
      <c r="M242" s="3" t="s">
        <v>181</v>
      </c>
      <c r="N242" s="3"/>
      <c r="O242" s="3"/>
      <c r="P242" s="3"/>
      <c r="Q242" s="3"/>
      <c r="R242" s="3"/>
      <c r="S242" s="3"/>
      <c r="T242" s="3"/>
      <c r="U242" s="3">
        <v>330</v>
      </c>
      <c r="V242" s="4">
        <v>41336</v>
      </c>
      <c r="W242" s="3" t="s">
        <v>33</v>
      </c>
      <c r="X242" s="3" t="s">
        <v>1158</v>
      </c>
    </row>
    <row r="243" spans="1:24" ht="27.95" x14ac:dyDescent="0.3">
      <c r="A243" s="3">
        <v>237</v>
      </c>
      <c r="B243" s="3" t="str">
        <f>"201900037318"</f>
        <v>201900037318</v>
      </c>
      <c r="C243" s="3">
        <v>110297</v>
      </c>
      <c r="D243" s="3" t="s">
        <v>1160</v>
      </c>
      <c r="E243" s="3">
        <v>10224419436</v>
      </c>
      <c r="F243" s="3" t="s">
        <v>1161</v>
      </c>
      <c r="G243" s="3" t="s">
        <v>1162</v>
      </c>
      <c r="H243" s="3" t="s">
        <v>73</v>
      </c>
      <c r="I243" s="3" t="s">
        <v>73</v>
      </c>
      <c r="J243" s="3" t="s">
        <v>1163</v>
      </c>
      <c r="K243" s="3" t="s">
        <v>31</v>
      </c>
      <c r="L243" s="3" t="s">
        <v>236</v>
      </c>
      <c r="M243" s="3" t="s">
        <v>644</v>
      </c>
      <c r="N243" s="3"/>
      <c r="O243" s="3"/>
      <c r="P243" s="3"/>
      <c r="Q243" s="3"/>
      <c r="R243" s="3"/>
      <c r="S243" s="3"/>
      <c r="T243" s="3"/>
      <c r="U243" s="3">
        <v>715</v>
      </c>
      <c r="V243" s="4">
        <v>43538</v>
      </c>
      <c r="W243" s="3" t="s">
        <v>33</v>
      </c>
      <c r="X243" s="3" t="s">
        <v>1161</v>
      </c>
    </row>
    <row r="244" spans="1:24" ht="55.9" x14ac:dyDescent="0.3">
      <c r="A244" s="3">
        <v>238</v>
      </c>
      <c r="B244" s="3" t="str">
        <f>"201400000411"</f>
        <v>201400000411</v>
      </c>
      <c r="C244" s="3">
        <v>97967</v>
      </c>
      <c r="D244" s="3" t="s">
        <v>1164</v>
      </c>
      <c r="E244" s="3">
        <v>20448710689</v>
      </c>
      <c r="F244" s="3" t="s">
        <v>1165</v>
      </c>
      <c r="G244" s="3" t="s">
        <v>1166</v>
      </c>
      <c r="H244" s="3" t="s">
        <v>45</v>
      </c>
      <c r="I244" s="3" t="s">
        <v>214</v>
      </c>
      <c r="J244" s="3" t="s">
        <v>474</v>
      </c>
      <c r="K244" s="3" t="s">
        <v>31</v>
      </c>
      <c r="L244" s="3" t="s">
        <v>182</v>
      </c>
      <c r="M244" s="3" t="s">
        <v>181</v>
      </c>
      <c r="N244" s="3"/>
      <c r="O244" s="3"/>
      <c r="P244" s="3"/>
      <c r="Q244" s="3"/>
      <c r="R244" s="3"/>
      <c r="S244" s="3"/>
      <c r="T244" s="3"/>
      <c r="U244" s="3">
        <v>330</v>
      </c>
      <c r="V244" s="4">
        <v>41645</v>
      </c>
      <c r="W244" s="3" t="s">
        <v>33</v>
      </c>
      <c r="X244" s="3" t="s">
        <v>1167</v>
      </c>
    </row>
    <row r="245" spans="1:24" ht="27.95" x14ac:dyDescent="0.3">
      <c r="A245" s="3">
        <v>239</v>
      </c>
      <c r="B245" s="3" t="str">
        <f>"201300042025"</f>
        <v>201300042025</v>
      </c>
      <c r="C245" s="3">
        <v>20030</v>
      </c>
      <c r="D245" s="3" t="s">
        <v>1168</v>
      </c>
      <c r="E245" s="3">
        <v>10014916135</v>
      </c>
      <c r="F245" s="3" t="s">
        <v>1169</v>
      </c>
      <c r="G245" s="3" t="s">
        <v>1170</v>
      </c>
      <c r="H245" s="3" t="s">
        <v>45</v>
      </c>
      <c r="I245" s="3" t="s">
        <v>46</v>
      </c>
      <c r="J245" s="3" t="s">
        <v>339</v>
      </c>
      <c r="K245" s="3" t="s">
        <v>31</v>
      </c>
      <c r="L245" s="3" t="s">
        <v>182</v>
      </c>
      <c r="M245" s="3" t="s">
        <v>181</v>
      </c>
      <c r="N245" s="3"/>
      <c r="O245" s="3"/>
      <c r="P245" s="3"/>
      <c r="Q245" s="3"/>
      <c r="R245" s="3"/>
      <c r="S245" s="3"/>
      <c r="T245" s="3"/>
      <c r="U245" s="3">
        <v>330</v>
      </c>
      <c r="V245" s="4">
        <v>41335</v>
      </c>
      <c r="W245" s="3" t="s">
        <v>33</v>
      </c>
      <c r="X245" s="3" t="s">
        <v>1169</v>
      </c>
    </row>
    <row r="246" spans="1:24" ht="27.95" x14ac:dyDescent="0.3">
      <c r="A246" s="3">
        <v>240</v>
      </c>
      <c r="B246" s="3" t="str">
        <f>"201300035702"</f>
        <v>201300035702</v>
      </c>
      <c r="C246" s="3">
        <v>92727</v>
      </c>
      <c r="D246" s="3" t="s">
        <v>1171</v>
      </c>
      <c r="E246" s="3">
        <v>10337804875</v>
      </c>
      <c r="F246" s="3" t="s">
        <v>1172</v>
      </c>
      <c r="G246" s="3" t="s">
        <v>1173</v>
      </c>
      <c r="H246" s="3" t="s">
        <v>225</v>
      </c>
      <c r="I246" s="3" t="s">
        <v>1174</v>
      </c>
      <c r="J246" s="3" t="s">
        <v>1175</v>
      </c>
      <c r="K246" s="3" t="s">
        <v>31</v>
      </c>
      <c r="L246" s="3" t="s">
        <v>41</v>
      </c>
      <c r="M246" s="3" t="s">
        <v>87</v>
      </c>
      <c r="N246" s="3"/>
      <c r="O246" s="3"/>
      <c r="P246" s="3"/>
      <c r="Q246" s="3"/>
      <c r="R246" s="3"/>
      <c r="S246" s="3"/>
      <c r="T246" s="3"/>
      <c r="U246" s="3">
        <v>330</v>
      </c>
      <c r="V246" s="4">
        <v>41312</v>
      </c>
      <c r="W246" s="3" t="s">
        <v>33</v>
      </c>
      <c r="X246" s="3" t="s">
        <v>1172</v>
      </c>
    </row>
    <row r="247" spans="1:24" ht="27.95" x14ac:dyDescent="0.3">
      <c r="A247" s="3">
        <v>241</v>
      </c>
      <c r="B247" s="3" t="str">
        <f>"201800191999"</f>
        <v>201800191999</v>
      </c>
      <c r="C247" s="3">
        <v>136029</v>
      </c>
      <c r="D247" s="3" t="s">
        <v>1176</v>
      </c>
      <c r="E247" s="3">
        <v>10318826442</v>
      </c>
      <c r="F247" s="3" t="s">
        <v>1177</v>
      </c>
      <c r="G247" s="3" t="s">
        <v>1178</v>
      </c>
      <c r="H247" s="3" t="s">
        <v>514</v>
      </c>
      <c r="I247" s="3" t="s">
        <v>596</v>
      </c>
      <c r="J247" s="3" t="s">
        <v>1179</v>
      </c>
      <c r="K247" s="3" t="s">
        <v>31</v>
      </c>
      <c r="L247" s="3" t="s">
        <v>236</v>
      </c>
      <c r="M247" s="3" t="s">
        <v>65</v>
      </c>
      <c r="N247" s="3" t="s">
        <v>574</v>
      </c>
      <c r="O247" s="3"/>
      <c r="P247" s="3"/>
      <c r="Q247" s="3"/>
      <c r="R247" s="3"/>
      <c r="S247" s="3"/>
      <c r="T247" s="3"/>
      <c r="U247" s="3">
        <v>715</v>
      </c>
      <c r="V247" s="4">
        <v>43430</v>
      </c>
      <c r="W247" s="3" t="s">
        <v>33</v>
      </c>
      <c r="X247" s="3" t="s">
        <v>1177</v>
      </c>
    </row>
    <row r="248" spans="1:24" ht="27.95" x14ac:dyDescent="0.3">
      <c r="A248" s="3">
        <v>242</v>
      </c>
      <c r="B248" s="3" t="str">
        <f>"201800152142"</f>
        <v>201800152142</v>
      </c>
      <c r="C248" s="3">
        <v>138590</v>
      </c>
      <c r="D248" s="3" t="s">
        <v>1180</v>
      </c>
      <c r="E248" s="3">
        <v>10006627213</v>
      </c>
      <c r="F248" s="3" t="s">
        <v>1181</v>
      </c>
      <c r="G248" s="3" t="s">
        <v>1182</v>
      </c>
      <c r="H248" s="3" t="s">
        <v>45</v>
      </c>
      <c r="I248" s="3" t="s">
        <v>105</v>
      </c>
      <c r="J248" s="3" t="s">
        <v>1126</v>
      </c>
      <c r="K248" s="3" t="s">
        <v>31</v>
      </c>
      <c r="L248" s="3" t="s">
        <v>340</v>
      </c>
      <c r="M248" s="3"/>
      <c r="N248" s="3"/>
      <c r="O248" s="3"/>
      <c r="P248" s="3"/>
      <c r="Q248" s="3"/>
      <c r="R248" s="3"/>
      <c r="S248" s="3"/>
      <c r="T248" s="3"/>
      <c r="U248" s="3">
        <v>715</v>
      </c>
      <c r="V248" s="4">
        <v>43362</v>
      </c>
      <c r="W248" s="3" t="s">
        <v>33</v>
      </c>
      <c r="X248" s="3" t="s">
        <v>1181</v>
      </c>
    </row>
    <row r="249" spans="1:24" ht="27.95" x14ac:dyDescent="0.3">
      <c r="A249" s="3">
        <v>243</v>
      </c>
      <c r="B249" s="3" t="str">
        <f>"201500116467"</f>
        <v>201500116467</v>
      </c>
      <c r="C249" s="3">
        <v>117243</v>
      </c>
      <c r="D249" s="3" t="s">
        <v>1183</v>
      </c>
      <c r="E249" s="3">
        <v>10227506291</v>
      </c>
      <c r="F249" s="3" t="s">
        <v>1184</v>
      </c>
      <c r="G249" s="3" t="s">
        <v>1185</v>
      </c>
      <c r="H249" s="3" t="s">
        <v>73</v>
      </c>
      <c r="I249" s="3" t="s">
        <v>74</v>
      </c>
      <c r="J249" s="3" t="s">
        <v>1186</v>
      </c>
      <c r="K249" s="3" t="s">
        <v>31</v>
      </c>
      <c r="L249" s="3" t="s">
        <v>41</v>
      </c>
      <c r="M249" s="3" t="s">
        <v>65</v>
      </c>
      <c r="N249" s="3"/>
      <c r="O249" s="3"/>
      <c r="P249" s="3"/>
      <c r="Q249" s="3"/>
      <c r="R249" s="3"/>
      <c r="S249" s="3"/>
      <c r="T249" s="3"/>
      <c r="U249" s="3">
        <v>330</v>
      </c>
      <c r="V249" s="4">
        <v>42312</v>
      </c>
      <c r="W249" s="3" t="s">
        <v>33</v>
      </c>
      <c r="X249" s="3" t="s">
        <v>1184</v>
      </c>
    </row>
    <row r="250" spans="1:24" ht="27.95" x14ac:dyDescent="0.3">
      <c r="A250" s="3">
        <v>244</v>
      </c>
      <c r="B250" s="3" t="str">
        <f>"1730499"</f>
        <v>1730499</v>
      </c>
      <c r="C250" s="3">
        <v>41699</v>
      </c>
      <c r="D250" s="3" t="s">
        <v>1187</v>
      </c>
      <c r="E250" s="3">
        <v>10255195650</v>
      </c>
      <c r="F250" s="3" t="s">
        <v>1188</v>
      </c>
      <c r="G250" s="3" t="s">
        <v>1189</v>
      </c>
      <c r="H250" s="3" t="s">
        <v>73</v>
      </c>
      <c r="I250" s="3" t="s">
        <v>73</v>
      </c>
      <c r="J250" s="3" t="s">
        <v>1163</v>
      </c>
      <c r="K250" s="3" t="s">
        <v>31</v>
      </c>
      <c r="L250" s="3" t="s">
        <v>264</v>
      </c>
      <c r="M250" s="3" t="s">
        <v>1036</v>
      </c>
      <c r="N250" s="3" t="s">
        <v>87</v>
      </c>
      <c r="O250" s="3"/>
      <c r="P250" s="3"/>
      <c r="Q250" s="3"/>
      <c r="R250" s="3"/>
      <c r="S250" s="3"/>
      <c r="T250" s="3"/>
      <c r="U250" s="3">
        <v>741</v>
      </c>
      <c r="V250" s="4">
        <v>39374</v>
      </c>
      <c r="W250" s="3" t="s">
        <v>33</v>
      </c>
      <c r="X250" s="3" t="s">
        <v>1190</v>
      </c>
    </row>
    <row r="251" spans="1:24" ht="27.95" x14ac:dyDescent="0.3">
      <c r="A251" s="3">
        <v>245</v>
      </c>
      <c r="B251" s="3" t="str">
        <f>"201300189306"</f>
        <v>201300189306</v>
      </c>
      <c r="C251" s="3">
        <v>45108</v>
      </c>
      <c r="D251" s="3" t="s">
        <v>1191</v>
      </c>
      <c r="E251" s="3">
        <v>10009310318</v>
      </c>
      <c r="F251" s="3" t="s">
        <v>1192</v>
      </c>
      <c r="G251" s="3" t="s">
        <v>1193</v>
      </c>
      <c r="H251" s="3" t="s">
        <v>233</v>
      </c>
      <c r="I251" s="3" t="s">
        <v>1194</v>
      </c>
      <c r="J251" s="3" t="s">
        <v>233</v>
      </c>
      <c r="K251" s="3" t="s">
        <v>31</v>
      </c>
      <c r="L251" s="3" t="s">
        <v>1195</v>
      </c>
      <c r="M251" s="3" t="s">
        <v>752</v>
      </c>
      <c r="N251" s="3" t="s">
        <v>754</v>
      </c>
      <c r="O251" s="3"/>
      <c r="P251" s="3"/>
      <c r="Q251" s="3"/>
      <c r="R251" s="3"/>
      <c r="S251" s="3"/>
      <c r="T251" s="3"/>
      <c r="U251" s="3">
        <v>330</v>
      </c>
      <c r="V251" s="4">
        <v>41615</v>
      </c>
      <c r="W251" s="3" t="s">
        <v>33</v>
      </c>
      <c r="X251" s="3" t="s">
        <v>1192</v>
      </c>
    </row>
    <row r="252" spans="1:24" ht="27.95" x14ac:dyDescent="0.3">
      <c r="A252" s="3">
        <v>246</v>
      </c>
      <c r="B252" s="3" t="str">
        <f>"201500070903"</f>
        <v>201500070903</v>
      </c>
      <c r="C252" s="3">
        <v>113944</v>
      </c>
      <c r="D252" s="3" t="s">
        <v>1196</v>
      </c>
      <c r="E252" s="3">
        <v>10334230304</v>
      </c>
      <c r="F252" s="3" t="s">
        <v>1197</v>
      </c>
      <c r="G252" s="3" t="s">
        <v>1198</v>
      </c>
      <c r="H252" s="3" t="s">
        <v>225</v>
      </c>
      <c r="I252" s="3" t="s">
        <v>402</v>
      </c>
      <c r="J252" s="3" t="s">
        <v>1199</v>
      </c>
      <c r="K252" s="3" t="s">
        <v>31</v>
      </c>
      <c r="L252" s="3" t="s">
        <v>41</v>
      </c>
      <c r="M252" s="3" t="s">
        <v>50</v>
      </c>
      <c r="N252" s="3" t="s">
        <v>264</v>
      </c>
      <c r="O252" s="3"/>
      <c r="P252" s="3"/>
      <c r="Q252" s="3"/>
      <c r="R252" s="3"/>
      <c r="S252" s="3"/>
      <c r="T252" s="3"/>
      <c r="U252" s="3">
        <v>330</v>
      </c>
      <c r="V252" s="4">
        <v>42188</v>
      </c>
      <c r="W252" s="3" t="s">
        <v>33</v>
      </c>
      <c r="X252" s="3" t="s">
        <v>1197</v>
      </c>
    </row>
    <row r="253" spans="1:24" ht="27.95" x14ac:dyDescent="0.3">
      <c r="A253" s="3">
        <v>247</v>
      </c>
      <c r="B253" s="3" t="str">
        <f>"201800110026"</f>
        <v>201800110026</v>
      </c>
      <c r="C253" s="3">
        <v>137288</v>
      </c>
      <c r="D253" s="3" t="s">
        <v>1200</v>
      </c>
      <c r="E253" s="3">
        <v>10251851838</v>
      </c>
      <c r="F253" s="3" t="s">
        <v>1201</v>
      </c>
      <c r="G253" s="3" t="s">
        <v>1202</v>
      </c>
      <c r="H253" s="3" t="s">
        <v>28</v>
      </c>
      <c r="I253" s="3" t="s">
        <v>1203</v>
      </c>
      <c r="J253" s="3" t="s">
        <v>1204</v>
      </c>
      <c r="K253" s="3" t="s">
        <v>31</v>
      </c>
      <c r="L253" s="3" t="s">
        <v>347</v>
      </c>
      <c r="M253" s="3"/>
      <c r="N253" s="3"/>
      <c r="O253" s="3"/>
      <c r="P253" s="3"/>
      <c r="Q253" s="3"/>
      <c r="R253" s="3"/>
      <c r="S253" s="3"/>
      <c r="T253" s="3"/>
      <c r="U253" s="3">
        <v>715</v>
      </c>
      <c r="V253" s="4">
        <v>43287</v>
      </c>
      <c r="W253" s="3" t="s">
        <v>33</v>
      </c>
      <c r="X253" s="3" t="s">
        <v>1201</v>
      </c>
    </row>
    <row r="254" spans="1:24" ht="27.95" x14ac:dyDescent="0.3">
      <c r="A254" s="3">
        <v>248</v>
      </c>
      <c r="B254" s="3" t="str">
        <f>"201800204013"</f>
        <v>201800204013</v>
      </c>
      <c r="C254" s="3">
        <v>140244</v>
      </c>
      <c r="D254" s="3" t="s">
        <v>1205</v>
      </c>
      <c r="E254" s="3">
        <v>10411179414</v>
      </c>
      <c r="F254" s="3" t="s">
        <v>1206</v>
      </c>
      <c r="G254" s="3" t="s">
        <v>1207</v>
      </c>
      <c r="H254" s="3" t="s">
        <v>28</v>
      </c>
      <c r="I254" s="3" t="s">
        <v>29</v>
      </c>
      <c r="J254" s="3" t="s">
        <v>1208</v>
      </c>
      <c r="K254" s="3" t="s">
        <v>31</v>
      </c>
      <c r="L254" s="3" t="s">
        <v>32</v>
      </c>
      <c r="M254" s="3"/>
      <c r="N254" s="3"/>
      <c r="O254" s="3"/>
      <c r="P254" s="3"/>
      <c r="Q254" s="3"/>
      <c r="R254" s="3"/>
      <c r="S254" s="3"/>
      <c r="T254" s="3"/>
      <c r="U254" s="3">
        <v>715</v>
      </c>
      <c r="V254" s="4">
        <v>43444</v>
      </c>
      <c r="W254" s="3" t="s">
        <v>33</v>
      </c>
      <c r="X254" s="3" t="s">
        <v>1206</v>
      </c>
    </row>
    <row r="255" spans="1:24" ht="27.95" x14ac:dyDescent="0.3">
      <c r="A255" s="3">
        <v>249</v>
      </c>
      <c r="B255" s="3" t="str">
        <f>"201800146585"</f>
        <v>201800146585</v>
      </c>
      <c r="C255" s="3">
        <v>131722</v>
      </c>
      <c r="D255" s="3" t="s">
        <v>1209</v>
      </c>
      <c r="E255" s="3">
        <v>20602971873</v>
      </c>
      <c r="F255" s="3" t="s">
        <v>1210</v>
      </c>
      <c r="G255" s="3" t="s">
        <v>1211</v>
      </c>
      <c r="H255" s="3" t="s">
        <v>571</v>
      </c>
      <c r="I255" s="3" t="s">
        <v>571</v>
      </c>
      <c r="J255" s="3" t="s">
        <v>1212</v>
      </c>
      <c r="K255" s="3" t="s">
        <v>31</v>
      </c>
      <c r="L255" s="3" t="s">
        <v>236</v>
      </c>
      <c r="M255" s="3" t="s">
        <v>644</v>
      </c>
      <c r="N255" s="3"/>
      <c r="O255" s="3"/>
      <c r="P255" s="3"/>
      <c r="Q255" s="3"/>
      <c r="R255" s="3"/>
      <c r="S255" s="3"/>
      <c r="T255" s="3"/>
      <c r="U255" s="3">
        <v>715</v>
      </c>
      <c r="V255" s="4">
        <v>43347</v>
      </c>
      <c r="W255" s="3" t="s">
        <v>33</v>
      </c>
      <c r="X255" s="3" t="s">
        <v>1213</v>
      </c>
    </row>
    <row r="256" spans="1:24" ht="27.95" x14ac:dyDescent="0.3">
      <c r="A256" s="3">
        <v>250</v>
      </c>
      <c r="B256" s="3" t="str">
        <f>"1596584"</f>
        <v>1596584</v>
      </c>
      <c r="C256" s="3">
        <v>18520</v>
      </c>
      <c r="D256" s="3" t="s">
        <v>1214</v>
      </c>
      <c r="E256" s="3">
        <v>10024211610</v>
      </c>
      <c r="F256" s="3" t="s">
        <v>1215</v>
      </c>
      <c r="G256" s="3" t="s">
        <v>1216</v>
      </c>
      <c r="H256" s="3" t="s">
        <v>45</v>
      </c>
      <c r="I256" s="3" t="s">
        <v>668</v>
      </c>
      <c r="J256" s="3" t="s">
        <v>669</v>
      </c>
      <c r="K256" s="3" t="s">
        <v>31</v>
      </c>
      <c r="L256" s="3" t="s">
        <v>107</v>
      </c>
      <c r="M256" s="3" t="s">
        <v>108</v>
      </c>
      <c r="N256" s="3" t="s">
        <v>87</v>
      </c>
      <c r="O256" s="3"/>
      <c r="P256" s="3"/>
      <c r="Q256" s="3"/>
      <c r="R256" s="3"/>
      <c r="S256" s="3"/>
      <c r="T256" s="3"/>
      <c r="U256" s="3">
        <v>440</v>
      </c>
      <c r="V256" s="4">
        <v>38783</v>
      </c>
      <c r="W256" s="3" t="s">
        <v>33</v>
      </c>
      <c r="X256" s="3" t="s">
        <v>1217</v>
      </c>
    </row>
    <row r="257" spans="1:24" ht="27.95" x14ac:dyDescent="0.3">
      <c r="A257" s="3">
        <v>251</v>
      </c>
      <c r="B257" s="3" t="str">
        <f>"201900114662"</f>
        <v>201900114662</v>
      </c>
      <c r="C257" s="3">
        <v>145254</v>
      </c>
      <c r="D257" s="3" t="s">
        <v>1218</v>
      </c>
      <c r="E257" s="3">
        <v>10011441217</v>
      </c>
      <c r="F257" s="3" t="s">
        <v>1219</v>
      </c>
      <c r="G257" s="3" t="s">
        <v>1220</v>
      </c>
      <c r="H257" s="3" t="s">
        <v>233</v>
      </c>
      <c r="I257" s="3" t="s">
        <v>262</v>
      </c>
      <c r="J257" s="3" t="s">
        <v>397</v>
      </c>
      <c r="K257" s="3" t="s">
        <v>31</v>
      </c>
      <c r="L257" s="3" t="s">
        <v>50</v>
      </c>
      <c r="M257" s="3" t="s">
        <v>237</v>
      </c>
      <c r="N257" s="3" t="s">
        <v>1221</v>
      </c>
      <c r="O257" s="3"/>
      <c r="P257" s="3"/>
      <c r="Q257" s="3"/>
      <c r="R257" s="3"/>
      <c r="S257" s="3"/>
      <c r="T257" s="3"/>
      <c r="U257" s="3">
        <v>0</v>
      </c>
      <c r="V257" s="4">
        <v>43661</v>
      </c>
      <c r="W257" s="3" t="s">
        <v>33</v>
      </c>
      <c r="X257" s="3" t="s">
        <v>1219</v>
      </c>
    </row>
    <row r="258" spans="1:24" ht="27.95" x14ac:dyDescent="0.3">
      <c r="A258" s="3">
        <v>252</v>
      </c>
      <c r="B258" s="3" t="str">
        <f>"1268550"</f>
        <v>1268550</v>
      </c>
      <c r="C258" s="3">
        <v>17896</v>
      </c>
      <c r="D258" s="3" t="s">
        <v>1222</v>
      </c>
      <c r="E258" s="3">
        <v>10042063687</v>
      </c>
      <c r="F258" s="3" t="s">
        <v>1223</v>
      </c>
      <c r="G258" s="3" t="s">
        <v>1224</v>
      </c>
      <c r="H258" s="3" t="s">
        <v>464</v>
      </c>
      <c r="I258" s="3" t="s">
        <v>483</v>
      </c>
      <c r="J258" s="3" t="s">
        <v>1225</v>
      </c>
      <c r="K258" s="3" t="s">
        <v>31</v>
      </c>
      <c r="L258" s="3" t="s">
        <v>48</v>
      </c>
      <c r="M258" s="3" t="s">
        <v>145</v>
      </c>
      <c r="N258" s="3" t="s">
        <v>50</v>
      </c>
      <c r="O258" s="3"/>
      <c r="P258" s="3"/>
      <c r="Q258" s="3"/>
      <c r="R258" s="3"/>
      <c r="S258" s="3"/>
      <c r="T258" s="3"/>
      <c r="U258" s="3">
        <v>330</v>
      </c>
      <c r="V258" s="4">
        <v>36550</v>
      </c>
      <c r="W258" s="3" t="s">
        <v>33</v>
      </c>
      <c r="X258" s="3" t="s">
        <v>1226</v>
      </c>
    </row>
    <row r="259" spans="1:24" ht="27.95" x14ac:dyDescent="0.3">
      <c r="A259" s="3">
        <v>253</v>
      </c>
      <c r="B259" s="3" t="str">
        <f>"202000006801"</f>
        <v>202000006801</v>
      </c>
      <c r="C259" s="3">
        <v>148753</v>
      </c>
      <c r="D259" s="3" t="s">
        <v>1227</v>
      </c>
      <c r="E259" s="3">
        <v>20604042276</v>
      </c>
      <c r="F259" s="3" t="s">
        <v>1228</v>
      </c>
      <c r="G259" s="3" t="s">
        <v>1229</v>
      </c>
      <c r="H259" s="3" t="s">
        <v>498</v>
      </c>
      <c r="I259" s="3" t="s">
        <v>1230</v>
      </c>
      <c r="J259" s="3" t="s">
        <v>1230</v>
      </c>
      <c r="K259" s="3" t="s">
        <v>31</v>
      </c>
      <c r="L259" s="3" t="s">
        <v>236</v>
      </c>
      <c r="M259" s="3" t="s">
        <v>889</v>
      </c>
      <c r="N259" s="3"/>
      <c r="O259" s="3"/>
      <c r="P259" s="3"/>
      <c r="Q259" s="3"/>
      <c r="R259" s="3"/>
      <c r="S259" s="3"/>
      <c r="T259" s="3"/>
      <c r="U259" s="3">
        <v>715</v>
      </c>
      <c r="V259" s="4">
        <v>43850</v>
      </c>
      <c r="W259" s="3" t="s">
        <v>33</v>
      </c>
      <c r="X259" s="3" t="s">
        <v>1231</v>
      </c>
    </row>
    <row r="260" spans="1:24" ht="27.95" x14ac:dyDescent="0.3">
      <c r="A260" s="3">
        <v>254</v>
      </c>
      <c r="B260" s="3" t="str">
        <f>"201900139496"</f>
        <v>201900139496</v>
      </c>
      <c r="C260" s="3">
        <v>18447</v>
      </c>
      <c r="D260" s="3" t="s">
        <v>1232</v>
      </c>
      <c r="E260" s="3">
        <v>10210869781</v>
      </c>
      <c r="F260" s="3" t="s">
        <v>1233</v>
      </c>
      <c r="G260" s="3" t="s">
        <v>1234</v>
      </c>
      <c r="H260" s="3" t="s">
        <v>37</v>
      </c>
      <c r="I260" s="3" t="s">
        <v>38</v>
      </c>
      <c r="J260" s="3" t="s">
        <v>1235</v>
      </c>
      <c r="K260" s="3" t="s">
        <v>31</v>
      </c>
      <c r="L260" s="3" t="s">
        <v>39</v>
      </c>
      <c r="M260" s="3" t="s">
        <v>40</v>
      </c>
      <c r="N260" s="3" t="s">
        <v>181</v>
      </c>
      <c r="O260" s="3"/>
      <c r="P260" s="3"/>
      <c r="Q260" s="3"/>
      <c r="R260" s="3"/>
      <c r="S260" s="3"/>
      <c r="T260" s="3"/>
      <c r="U260" s="3">
        <v>330</v>
      </c>
      <c r="V260" s="4">
        <v>43707</v>
      </c>
      <c r="W260" s="3" t="s">
        <v>33</v>
      </c>
      <c r="X260" s="3" t="s">
        <v>1233</v>
      </c>
    </row>
    <row r="261" spans="1:24" ht="27.95" x14ac:dyDescent="0.3">
      <c r="A261" s="3">
        <v>255</v>
      </c>
      <c r="B261" s="3" t="str">
        <f>"201800120242"</f>
        <v>201800120242</v>
      </c>
      <c r="C261" s="3">
        <v>18853</v>
      </c>
      <c r="D261" s="3" t="s">
        <v>1236</v>
      </c>
      <c r="E261" s="3">
        <v>10023834346</v>
      </c>
      <c r="F261" s="3" t="s">
        <v>1237</v>
      </c>
      <c r="G261" s="3" t="s">
        <v>1238</v>
      </c>
      <c r="H261" s="3" t="s">
        <v>45</v>
      </c>
      <c r="I261" s="3" t="s">
        <v>45</v>
      </c>
      <c r="J261" s="3" t="s">
        <v>1239</v>
      </c>
      <c r="K261" s="3" t="s">
        <v>31</v>
      </c>
      <c r="L261" s="3" t="s">
        <v>1240</v>
      </c>
      <c r="M261" s="3"/>
      <c r="N261" s="3"/>
      <c r="O261" s="3"/>
      <c r="P261" s="3"/>
      <c r="Q261" s="3"/>
      <c r="R261" s="3"/>
      <c r="S261" s="3"/>
      <c r="T261" s="3"/>
      <c r="U261" s="3">
        <v>715</v>
      </c>
      <c r="V261" s="4">
        <v>43306</v>
      </c>
      <c r="W261" s="3" t="s">
        <v>33</v>
      </c>
      <c r="X261" s="3" t="s">
        <v>1237</v>
      </c>
    </row>
    <row r="262" spans="1:24" ht="27.95" x14ac:dyDescent="0.3">
      <c r="A262" s="3">
        <v>256</v>
      </c>
      <c r="B262" s="3" t="str">
        <f>"201800053334"</f>
        <v>201800053334</v>
      </c>
      <c r="C262" s="3">
        <v>134532</v>
      </c>
      <c r="D262" s="3" t="s">
        <v>1241</v>
      </c>
      <c r="E262" s="3">
        <v>10440096943</v>
      </c>
      <c r="F262" s="3" t="s">
        <v>1242</v>
      </c>
      <c r="G262" s="3" t="s">
        <v>1243</v>
      </c>
      <c r="H262" s="3" t="s">
        <v>514</v>
      </c>
      <c r="I262" s="3" t="s">
        <v>532</v>
      </c>
      <c r="J262" s="3" t="s">
        <v>533</v>
      </c>
      <c r="K262" s="3" t="s">
        <v>31</v>
      </c>
      <c r="L262" s="3"/>
      <c r="M262" s="3"/>
      <c r="N262" s="3" t="s">
        <v>57</v>
      </c>
      <c r="O262" s="3"/>
      <c r="P262" s="3"/>
      <c r="Q262" s="3"/>
      <c r="R262" s="3"/>
      <c r="S262" s="3"/>
      <c r="T262" s="3"/>
      <c r="U262" s="3">
        <v>715</v>
      </c>
      <c r="V262" s="4">
        <v>43192</v>
      </c>
      <c r="W262" s="3" t="s">
        <v>33</v>
      </c>
      <c r="X262" s="3" t="s">
        <v>1242</v>
      </c>
    </row>
    <row r="263" spans="1:24" ht="27.95" x14ac:dyDescent="0.3">
      <c r="A263" s="3">
        <v>257</v>
      </c>
      <c r="B263" s="3" t="str">
        <f>"202000068462"</f>
        <v>202000068462</v>
      </c>
      <c r="C263" s="3">
        <v>136500</v>
      </c>
      <c r="D263" s="3" t="s">
        <v>1244</v>
      </c>
      <c r="E263" s="3">
        <v>10475060542</v>
      </c>
      <c r="F263" s="3" t="s">
        <v>1245</v>
      </c>
      <c r="G263" s="3" t="s">
        <v>1246</v>
      </c>
      <c r="H263" s="3" t="s">
        <v>233</v>
      </c>
      <c r="I263" s="3" t="s">
        <v>637</v>
      </c>
      <c r="J263" s="3" t="s">
        <v>858</v>
      </c>
      <c r="K263" s="3" t="s">
        <v>31</v>
      </c>
      <c r="L263" s="3" t="s">
        <v>1247</v>
      </c>
      <c r="M263" s="3"/>
      <c r="N263" s="3"/>
      <c r="O263" s="3"/>
      <c r="P263" s="3"/>
      <c r="Q263" s="3"/>
      <c r="R263" s="3"/>
      <c r="S263" s="3"/>
      <c r="T263" s="3"/>
      <c r="U263" s="3">
        <v>440</v>
      </c>
      <c r="V263" s="4">
        <v>44035</v>
      </c>
      <c r="W263" s="3" t="s">
        <v>33</v>
      </c>
      <c r="X263" s="3" t="s">
        <v>1245</v>
      </c>
    </row>
    <row r="264" spans="1:24" ht="27.95" x14ac:dyDescent="0.3">
      <c r="A264" s="3">
        <v>258</v>
      </c>
      <c r="B264" s="3" t="str">
        <f>"201800109639"</f>
        <v>201800109639</v>
      </c>
      <c r="C264" s="3">
        <v>137281</v>
      </c>
      <c r="D264" s="3" t="s">
        <v>1248</v>
      </c>
      <c r="E264" s="3">
        <v>20489605962</v>
      </c>
      <c r="F264" s="3" t="s">
        <v>1249</v>
      </c>
      <c r="G264" s="3" t="s">
        <v>1250</v>
      </c>
      <c r="H264" s="3" t="s">
        <v>73</v>
      </c>
      <c r="I264" s="3" t="s">
        <v>692</v>
      </c>
      <c r="J264" s="3" t="s">
        <v>692</v>
      </c>
      <c r="K264" s="3" t="s">
        <v>31</v>
      </c>
      <c r="L264" s="3" t="s">
        <v>644</v>
      </c>
      <c r="M264" s="3" t="s">
        <v>236</v>
      </c>
      <c r="N264" s="3"/>
      <c r="O264" s="3"/>
      <c r="P264" s="3"/>
      <c r="Q264" s="3"/>
      <c r="R264" s="3"/>
      <c r="S264" s="3"/>
      <c r="T264" s="3"/>
      <c r="U264" s="3">
        <v>715</v>
      </c>
      <c r="V264" s="4">
        <v>43289</v>
      </c>
      <c r="W264" s="3" t="s">
        <v>33</v>
      </c>
      <c r="X264" s="3" t="s">
        <v>1251</v>
      </c>
    </row>
    <row r="265" spans="1:24" ht="27.95" x14ac:dyDescent="0.3">
      <c r="A265" s="3">
        <v>259</v>
      </c>
      <c r="B265" s="3" t="str">
        <f>"1305707"</f>
        <v>1305707</v>
      </c>
      <c r="C265" s="3">
        <v>20056</v>
      </c>
      <c r="D265" s="3" t="s">
        <v>1252</v>
      </c>
      <c r="E265" s="3">
        <v>10017966761</v>
      </c>
      <c r="F265" s="3" t="s">
        <v>1253</v>
      </c>
      <c r="G265" s="3" t="s">
        <v>1254</v>
      </c>
      <c r="H265" s="3" t="s">
        <v>45</v>
      </c>
      <c r="I265" s="3" t="s">
        <v>105</v>
      </c>
      <c r="J265" s="3" t="s">
        <v>144</v>
      </c>
      <c r="K265" s="3" t="s">
        <v>31</v>
      </c>
      <c r="L265" s="3" t="s">
        <v>50</v>
      </c>
      <c r="M265" s="3" t="s">
        <v>48</v>
      </c>
      <c r="N265" s="3" t="s">
        <v>49</v>
      </c>
      <c r="O265" s="3"/>
      <c r="P265" s="3"/>
      <c r="Q265" s="3"/>
      <c r="R265" s="3"/>
      <c r="S265" s="3"/>
      <c r="T265" s="3"/>
      <c r="U265" s="3">
        <v>440</v>
      </c>
      <c r="V265" s="4">
        <v>36833</v>
      </c>
      <c r="W265" s="3" t="s">
        <v>33</v>
      </c>
      <c r="X265" s="3" t="s">
        <v>1255</v>
      </c>
    </row>
    <row r="266" spans="1:24" ht="27.95" x14ac:dyDescent="0.3">
      <c r="A266" s="3">
        <v>260</v>
      </c>
      <c r="B266" s="3" t="str">
        <f>"201600037285"</f>
        <v>201600037285</v>
      </c>
      <c r="C266" s="3">
        <v>118440</v>
      </c>
      <c r="D266" s="3" t="s">
        <v>1256</v>
      </c>
      <c r="E266" s="3">
        <v>20600764510</v>
      </c>
      <c r="F266" s="3" t="s">
        <v>1257</v>
      </c>
      <c r="G266" s="3" t="s">
        <v>1258</v>
      </c>
      <c r="H266" s="3" t="s">
        <v>571</v>
      </c>
      <c r="I266" s="3" t="s">
        <v>1259</v>
      </c>
      <c r="J266" s="3" t="s">
        <v>1259</v>
      </c>
      <c r="K266" s="3" t="s">
        <v>31</v>
      </c>
      <c r="L266" s="3" t="s">
        <v>39</v>
      </c>
      <c r="M266" s="3" t="s">
        <v>40</v>
      </c>
      <c r="N266" s="3" t="s">
        <v>64</v>
      </c>
      <c r="O266" s="3"/>
      <c r="P266" s="3"/>
      <c r="Q266" s="3"/>
      <c r="R266" s="3"/>
      <c r="S266" s="3"/>
      <c r="T266" s="3"/>
      <c r="U266" s="3">
        <v>330</v>
      </c>
      <c r="V266" s="4">
        <v>42466</v>
      </c>
      <c r="W266" s="3" t="s">
        <v>33</v>
      </c>
      <c r="X266" s="3" t="s">
        <v>1260</v>
      </c>
    </row>
    <row r="267" spans="1:24" ht="27.95" x14ac:dyDescent="0.3">
      <c r="A267" s="3">
        <v>261</v>
      </c>
      <c r="B267" s="3" t="str">
        <f>"201800021089"</f>
        <v>201800021089</v>
      </c>
      <c r="C267" s="3">
        <v>134419</v>
      </c>
      <c r="D267" s="3" t="s">
        <v>1261</v>
      </c>
      <c r="E267" s="3">
        <v>10773816463</v>
      </c>
      <c r="F267" s="3" t="s">
        <v>1262</v>
      </c>
      <c r="G267" s="3" t="s">
        <v>1263</v>
      </c>
      <c r="H267" s="3" t="s">
        <v>73</v>
      </c>
      <c r="I267" s="3" t="s">
        <v>73</v>
      </c>
      <c r="J267" s="3" t="s">
        <v>1264</v>
      </c>
      <c r="K267" s="3" t="s">
        <v>31</v>
      </c>
      <c r="L267" s="3" t="s">
        <v>181</v>
      </c>
      <c r="M267" s="3" t="s">
        <v>65</v>
      </c>
      <c r="N267" s="3"/>
      <c r="O267" s="3"/>
      <c r="P267" s="3"/>
      <c r="Q267" s="3"/>
      <c r="R267" s="3"/>
      <c r="S267" s="3"/>
      <c r="T267" s="3"/>
      <c r="U267" s="3">
        <v>330</v>
      </c>
      <c r="V267" s="4">
        <v>43145</v>
      </c>
      <c r="W267" s="3" t="s">
        <v>33</v>
      </c>
      <c r="X267" s="3" t="s">
        <v>1262</v>
      </c>
    </row>
    <row r="268" spans="1:24" ht="27.95" x14ac:dyDescent="0.3">
      <c r="A268" s="3">
        <v>262</v>
      </c>
      <c r="B268" s="3" t="str">
        <f>"201900115904"</f>
        <v>201900115904</v>
      </c>
      <c r="C268" s="3">
        <v>145305</v>
      </c>
      <c r="D268" s="3" t="s">
        <v>1265</v>
      </c>
      <c r="E268" s="3">
        <v>10434102320</v>
      </c>
      <c r="F268" s="3" t="s">
        <v>1266</v>
      </c>
      <c r="G268" s="3" t="s">
        <v>1267</v>
      </c>
      <c r="H268" s="3" t="s">
        <v>498</v>
      </c>
      <c r="I268" s="3" t="s">
        <v>972</v>
      </c>
      <c r="J268" s="3" t="s">
        <v>972</v>
      </c>
      <c r="K268" s="3" t="s">
        <v>31</v>
      </c>
      <c r="L268" s="3"/>
      <c r="M268" s="3" t="s">
        <v>57</v>
      </c>
      <c r="N268" s="3"/>
      <c r="O268" s="3"/>
      <c r="P268" s="3"/>
      <c r="Q268" s="3"/>
      <c r="R268" s="3"/>
      <c r="S268" s="3"/>
      <c r="T268" s="3"/>
      <c r="U268" s="3">
        <v>715</v>
      </c>
      <c r="V268" s="4">
        <v>43682</v>
      </c>
      <c r="W268" s="3" t="s">
        <v>33</v>
      </c>
      <c r="X268" s="3" t="s">
        <v>1266</v>
      </c>
    </row>
    <row r="269" spans="1:24" ht="27.95" x14ac:dyDescent="0.3">
      <c r="A269" s="3">
        <v>263</v>
      </c>
      <c r="B269" s="3" t="str">
        <f>"1506136"</f>
        <v>1506136</v>
      </c>
      <c r="C269" s="3">
        <v>82624</v>
      </c>
      <c r="D269" s="3" t="s">
        <v>1268</v>
      </c>
      <c r="E269" s="3">
        <v>10021732244</v>
      </c>
      <c r="F269" s="3" t="s">
        <v>1269</v>
      </c>
      <c r="G269" s="3" t="s">
        <v>1270</v>
      </c>
      <c r="H269" s="3" t="s">
        <v>45</v>
      </c>
      <c r="I269" s="3" t="s">
        <v>328</v>
      </c>
      <c r="J269" s="3" t="s">
        <v>329</v>
      </c>
      <c r="K269" s="3" t="s">
        <v>31</v>
      </c>
      <c r="L269" s="3" t="s">
        <v>322</v>
      </c>
      <c r="M269" s="3" t="s">
        <v>323</v>
      </c>
      <c r="N269" s="3" t="s">
        <v>324</v>
      </c>
      <c r="O269" s="3" t="s">
        <v>324</v>
      </c>
      <c r="P269" s="3"/>
      <c r="Q269" s="3"/>
      <c r="R269" s="3"/>
      <c r="S269" s="3"/>
      <c r="T269" s="3"/>
      <c r="U269" s="3">
        <v>342</v>
      </c>
      <c r="V269" s="4">
        <v>40821</v>
      </c>
      <c r="W269" s="3" t="s">
        <v>33</v>
      </c>
      <c r="X269" s="3" t="s">
        <v>1269</v>
      </c>
    </row>
    <row r="270" spans="1:24" ht="55.9" x14ac:dyDescent="0.3">
      <c r="A270" s="3">
        <v>264</v>
      </c>
      <c r="B270" s="3" t="str">
        <f>"1470989"</f>
        <v>1470989</v>
      </c>
      <c r="C270" s="3">
        <v>91106</v>
      </c>
      <c r="D270" s="3" t="s">
        <v>1271</v>
      </c>
      <c r="E270" s="3">
        <v>10200337391</v>
      </c>
      <c r="F270" s="3" t="s">
        <v>1272</v>
      </c>
      <c r="G270" s="3" t="s">
        <v>1273</v>
      </c>
      <c r="H270" s="3" t="s">
        <v>92</v>
      </c>
      <c r="I270" s="3" t="s">
        <v>113</v>
      </c>
      <c r="J270" s="3" t="s">
        <v>1274</v>
      </c>
      <c r="K270" s="3" t="s">
        <v>31</v>
      </c>
      <c r="L270" s="3" t="s">
        <v>701</v>
      </c>
      <c r="M270" s="3" t="s">
        <v>701</v>
      </c>
      <c r="N270" s="3" t="s">
        <v>324</v>
      </c>
      <c r="O270" s="3" t="s">
        <v>324</v>
      </c>
      <c r="P270" s="3" t="s">
        <v>324</v>
      </c>
      <c r="Q270" s="3" t="s">
        <v>324</v>
      </c>
      <c r="R270" s="3" t="s">
        <v>324</v>
      </c>
      <c r="S270" s="3" t="s">
        <v>324</v>
      </c>
      <c r="T270" s="3" t="s">
        <v>324</v>
      </c>
      <c r="U270" s="3">
        <v>684</v>
      </c>
      <c r="V270" s="4">
        <v>40604</v>
      </c>
      <c r="W270" s="3" t="s">
        <v>33</v>
      </c>
      <c r="X270" s="3" t="s">
        <v>1275</v>
      </c>
    </row>
    <row r="271" spans="1:24" ht="27.95" x14ac:dyDescent="0.3">
      <c r="A271" s="3">
        <v>265</v>
      </c>
      <c r="B271" s="3" t="str">
        <f>"201700010887"</f>
        <v>201700010887</v>
      </c>
      <c r="C271" s="3">
        <v>121219</v>
      </c>
      <c r="D271" s="3" t="s">
        <v>1276</v>
      </c>
      <c r="E271" s="3">
        <v>10326102836</v>
      </c>
      <c r="F271" s="3" t="s">
        <v>1277</v>
      </c>
      <c r="G271" s="3" t="s">
        <v>1278</v>
      </c>
      <c r="H271" s="3" t="s">
        <v>514</v>
      </c>
      <c r="I271" s="3" t="s">
        <v>1279</v>
      </c>
      <c r="J271" s="3" t="s">
        <v>1279</v>
      </c>
      <c r="K271" s="3" t="s">
        <v>31</v>
      </c>
      <c r="L271" s="3" t="s">
        <v>1280</v>
      </c>
      <c r="M271" s="3"/>
      <c r="N271" s="3"/>
      <c r="O271" s="3"/>
      <c r="P271" s="3"/>
      <c r="Q271" s="3"/>
      <c r="R271" s="3"/>
      <c r="S271" s="3"/>
      <c r="T271" s="3"/>
      <c r="U271" s="3">
        <v>330</v>
      </c>
      <c r="V271" s="4">
        <v>42768</v>
      </c>
      <c r="W271" s="3" t="s">
        <v>33</v>
      </c>
      <c r="X271" s="3" t="s">
        <v>1277</v>
      </c>
    </row>
    <row r="272" spans="1:24" ht="27.95" x14ac:dyDescent="0.3">
      <c r="A272" s="3">
        <v>266</v>
      </c>
      <c r="B272" s="3" t="str">
        <f>"201500142373"</f>
        <v>201500142373</v>
      </c>
      <c r="C272" s="3">
        <v>116539</v>
      </c>
      <c r="D272" s="3" t="s">
        <v>1281</v>
      </c>
      <c r="E272" s="3">
        <v>10416217489</v>
      </c>
      <c r="F272" s="3" t="s">
        <v>1282</v>
      </c>
      <c r="G272" s="3" t="s">
        <v>1283</v>
      </c>
      <c r="H272" s="3" t="s">
        <v>233</v>
      </c>
      <c r="I272" s="3" t="s">
        <v>234</v>
      </c>
      <c r="J272" s="3" t="s">
        <v>1284</v>
      </c>
      <c r="K272" s="3" t="s">
        <v>31</v>
      </c>
      <c r="L272" s="3" t="s">
        <v>40</v>
      </c>
      <c r="M272" s="3" t="s">
        <v>500</v>
      </c>
      <c r="N272" s="3"/>
      <c r="O272" s="3"/>
      <c r="P272" s="3"/>
      <c r="Q272" s="3"/>
      <c r="R272" s="3"/>
      <c r="S272" s="3"/>
      <c r="T272" s="3"/>
      <c r="U272" s="3">
        <v>330</v>
      </c>
      <c r="V272" s="4">
        <v>42317</v>
      </c>
      <c r="W272" s="3" t="s">
        <v>33</v>
      </c>
      <c r="X272" s="3" t="s">
        <v>1282</v>
      </c>
    </row>
    <row r="273" spans="1:24" ht="27.95" x14ac:dyDescent="0.3">
      <c r="A273" s="3">
        <v>267</v>
      </c>
      <c r="B273" s="3" t="str">
        <f>"201300045649"</f>
        <v>201300045649</v>
      </c>
      <c r="C273" s="3">
        <v>21021</v>
      </c>
      <c r="D273" s="3" t="s">
        <v>1285</v>
      </c>
      <c r="E273" s="3">
        <v>10441651878</v>
      </c>
      <c r="F273" s="3" t="s">
        <v>1286</v>
      </c>
      <c r="G273" s="3" t="s">
        <v>1287</v>
      </c>
      <c r="H273" s="3" t="s">
        <v>45</v>
      </c>
      <c r="I273" s="3" t="s">
        <v>46</v>
      </c>
      <c r="J273" s="3" t="s">
        <v>1288</v>
      </c>
      <c r="K273" s="3" t="s">
        <v>31</v>
      </c>
      <c r="L273" s="3" t="s">
        <v>182</v>
      </c>
      <c r="M273" s="3" t="s">
        <v>181</v>
      </c>
      <c r="N273" s="3"/>
      <c r="O273" s="3"/>
      <c r="P273" s="3"/>
      <c r="Q273" s="3"/>
      <c r="R273" s="3"/>
      <c r="S273" s="3"/>
      <c r="T273" s="3"/>
      <c r="U273" s="3">
        <v>330</v>
      </c>
      <c r="V273" s="4">
        <v>41336</v>
      </c>
      <c r="W273" s="3" t="s">
        <v>33</v>
      </c>
      <c r="X273" s="3" t="s">
        <v>1286</v>
      </c>
    </row>
    <row r="274" spans="1:24" ht="27.95" x14ac:dyDescent="0.3">
      <c r="A274" s="3">
        <v>268</v>
      </c>
      <c r="B274" s="3" t="str">
        <f>"201800204008"</f>
        <v>201800204008</v>
      </c>
      <c r="C274" s="3">
        <v>140243</v>
      </c>
      <c r="D274" s="3" t="s">
        <v>1289</v>
      </c>
      <c r="E274" s="3">
        <v>10465720242</v>
      </c>
      <c r="F274" s="3" t="s">
        <v>1290</v>
      </c>
      <c r="G274" s="3" t="s">
        <v>1291</v>
      </c>
      <c r="H274" s="3" t="s">
        <v>28</v>
      </c>
      <c r="I274" s="3" t="s">
        <v>174</v>
      </c>
      <c r="J274" s="3" t="s">
        <v>174</v>
      </c>
      <c r="K274" s="3" t="s">
        <v>31</v>
      </c>
      <c r="L274" s="3" t="s">
        <v>32</v>
      </c>
      <c r="M274" s="3"/>
      <c r="N274" s="3"/>
      <c r="O274" s="3"/>
      <c r="P274" s="3"/>
      <c r="Q274" s="3"/>
      <c r="R274" s="3"/>
      <c r="S274" s="3"/>
      <c r="T274" s="3"/>
      <c r="U274" s="3">
        <v>715</v>
      </c>
      <c r="V274" s="4">
        <v>43444</v>
      </c>
      <c r="W274" s="3" t="s">
        <v>33</v>
      </c>
      <c r="X274" s="3" t="s">
        <v>1290</v>
      </c>
    </row>
    <row r="275" spans="1:24" ht="27.95" x14ac:dyDescent="0.3">
      <c r="A275" s="3">
        <v>269</v>
      </c>
      <c r="B275" s="3" t="str">
        <f>"1467795"</f>
        <v>1467795</v>
      </c>
      <c r="C275" s="3">
        <v>83238</v>
      </c>
      <c r="D275" s="3" t="s">
        <v>1292</v>
      </c>
      <c r="E275" s="3">
        <v>10016992564</v>
      </c>
      <c r="F275" s="3" t="s">
        <v>1293</v>
      </c>
      <c r="G275" s="3" t="s">
        <v>1294</v>
      </c>
      <c r="H275" s="3" t="s">
        <v>45</v>
      </c>
      <c r="I275" s="3" t="s">
        <v>119</v>
      </c>
      <c r="J275" s="3" t="s">
        <v>519</v>
      </c>
      <c r="K275" s="3" t="s">
        <v>31</v>
      </c>
      <c r="L275" s="3" t="s">
        <v>1295</v>
      </c>
      <c r="M275" s="3" t="s">
        <v>1296</v>
      </c>
      <c r="N275" s="3" t="s">
        <v>428</v>
      </c>
      <c r="O275" s="3" t="s">
        <v>428</v>
      </c>
      <c r="P275" s="3" t="s">
        <v>428</v>
      </c>
      <c r="Q275" s="3"/>
      <c r="R275" s="3"/>
      <c r="S275" s="3"/>
      <c r="T275" s="3"/>
      <c r="U275" s="3">
        <v>440</v>
      </c>
      <c r="V275" s="4">
        <v>40588</v>
      </c>
      <c r="W275" s="3" t="s">
        <v>33</v>
      </c>
      <c r="X275" s="3" t="s">
        <v>1293</v>
      </c>
    </row>
    <row r="276" spans="1:24" ht="41.95" x14ac:dyDescent="0.3">
      <c r="A276" s="3">
        <v>270</v>
      </c>
      <c r="B276" s="3" t="str">
        <f>"1459586"</f>
        <v>1459586</v>
      </c>
      <c r="C276" s="3">
        <v>18285</v>
      </c>
      <c r="D276" s="3" t="s">
        <v>1297</v>
      </c>
      <c r="E276" s="3">
        <v>10020214100</v>
      </c>
      <c r="F276" s="3" t="s">
        <v>1298</v>
      </c>
      <c r="G276" s="3" t="s">
        <v>1299</v>
      </c>
      <c r="H276" s="3" t="s">
        <v>45</v>
      </c>
      <c r="I276" s="3" t="s">
        <v>179</v>
      </c>
      <c r="J276" s="3" t="s">
        <v>1300</v>
      </c>
      <c r="K276" s="3" t="s">
        <v>31</v>
      </c>
      <c r="L276" s="3" t="s">
        <v>1301</v>
      </c>
      <c r="M276" s="3"/>
      <c r="N276" s="3"/>
      <c r="O276" s="3"/>
      <c r="P276" s="3"/>
      <c r="Q276" s="3"/>
      <c r="R276" s="3"/>
      <c r="S276" s="3"/>
      <c r="T276" s="3"/>
      <c r="U276" s="3">
        <v>440</v>
      </c>
      <c r="V276" s="4">
        <v>40549</v>
      </c>
      <c r="W276" s="3" t="s">
        <v>33</v>
      </c>
      <c r="X276" s="3" t="s">
        <v>1302</v>
      </c>
    </row>
    <row r="277" spans="1:24" ht="27.95" x14ac:dyDescent="0.3">
      <c r="A277" s="3">
        <v>271</v>
      </c>
      <c r="B277" s="3" t="str">
        <f>"201700214510"</f>
        <v>201700214510</v>
      </c>
      <c r="C277" s="3">
        <v>33178</v>
      </c>
      <c r="D277" s="3" t="s">
        <v>1303</v>
      </c>
      <c r="E277" s="3">
        <v>10012565131</v>
      </c>
      <c r="F277" s="3" t="s">
        <v>1304</v>
      </c>
      <c r="G277" s="3" t="s">
        <v>1305</v>
      </c>
      <c r="H277" s="3" t="s">
        <v>45</v>
      </c>
      <c r="I277" s="3" t="s">
        <v>45</v>
      </c>
      <c r="J277" s="3" t="s">
        <v>524</v>
      </c>
      <c r="K277" s="3" t="s">
        <v>31</v>
      </c>
      <c r="L277" s="3"/>
      <c r="M277" s="3"/>
      <c r="N277" s="3" t="s">
        <v>826</v>
      </c>
      <c r="O277" s="3" t="s">
        <v>236</v>
      </c>
      <c r="P277" s="3"/>
      <c r="Q277" s="3"/>
      <c r="R277" s="3"/>
      <c r="S277" s="3"/>
      <c r="T277" s="3"/>
      <c r="U277" s="3">
        <v>715</v>
      </c>
      <c r="V277" s="4">
        <v>43090</v>
      </c>
      <c r="W277" s="3" t="s">
        <v>33</v>
      </c>
      <c r="X277" s="3" t="s">
        <v>1304</v>
      </c>
    </row>
    <row r="278" spans="1:24" ht="27.95" x14ac:dyDescent="0.3">
      <c r="A278" s="3">
        <v>272</v>
      </c>
      <c r="B278" s="3" t="str">
        <f>"201700110782"</f>
        <v>201700110782</v>
      </c>
      <c r="C278" s="3">
        <v>130532</v>
      </c>
      <c r="D278" s="3" t="s">
        <v>1306</v>
      </c>
      <c r="E278" s="3">
        <v>10422559618</v>
      </c>
      <c r="F278" s="3" t="s">
        <v>1307</v>
      </c>
      <c r="G278" s="3" t="s">
        <v>1308</v>
      </c>
      <c r="H278" s="3" t="s">
        <v>1309</v>
      </c>
      <c r="I278" s="3" t="s">
        <v>1309</v>
      </c>
      <c r="J278" s="3" t="s">
        <v>1309</v>
      </c>
      <c r="K278" s="3" t="s">
        <v>31</v>
      </c>
      <c r="L278" s="3" t="s">
        <v>182</v>
      </c>
      <c r="M278" s="3" t="s">
        <v>41</v>
      </c>
      <c r="N278" s="3"/>
      <c r="O278" s="3"/>
      <c r="P278" s="3"/>
      <c r="Q278" s="3"/>
      <c r="R278" s="3"/>
      <c r="S278" s="3"/>
      <c r="T278" s="3"/>
      <c r="U278" s="3">
        <v>330</v>
      </c>
      <c r="V278" s="4">
        <v>42983</v>
      </c>
      <c r="W278" s="3" t="s">
        <v>33</v>
      </c>
      <c r="X278" s="3" t="s">
        <v>1307</v>
      </c>
    </row>
    <row r="279" spans="1:24" ht="27.95" x14ac:dyDescent="0.3">
      <c r="A279" s="3">
        <v>273</v>
      </c>
      <c r="B279" s="3" t="str">
        <f>"1212366"</f>
        <v>1212366</v>
      </c>
      <c r="C279" s="3">
        <v>15411</v>
      </c>
      <c r="D279" s="3">
        <v>1212366</v>
      </c>
      <c r="E279" s="3">
        <v>10196723299</v>
      </c>
      <c r="F279" s="3" t="s">
        <v>1310</v>
      </c>
      <c r="G279" s="3" t="s">
        <v>1311</v>
      </c>
      <c r="H279" s="3" t="s">
        <v>498</v>
      </c>
      <c r="I279" s="3" t="s">
        <v>972</v>
      </c>
      <c r="J279" s="3" t="s">
        <v>1312</v>
      </c>
      <c r="K279" s="3" t="s">
        <v>31</v>
      </c>
      <c r="L279" s="3" t="s">
        <v>107</v>
      </c>
      <c r="M279" s="3" t="s">
        <v>108</v>
      </c>
      <c r="N279" s="3" t="s">
        <v>87</v>
      </c>
      <c r="O279" s="3"/>
      <c r="P279" s="3"/>
      <c r="Q279" s="3"/>
      <c r="R279" s="3"/>
      <c r="S279" s="3"/>
      <c r="T279" s="3"/>
      <c r="U279" s="3">
        <v>450</v>
      </c>
      <c r="V279" s="4">
        <v>36188</v>
      </c>
      <c r="W279" s="3" t="s">
        <v>33</v>
      </c>
      <c r="X279" s="3" t="s">
        <v>1313</v>
      </c>
    </row>
    <row r="280" spans="1:24" ht="27.95" x14ac:dyDescent="0.3">
      <c r="A280" s="3">
        <v>274</v>
      </c>
      <c r="B280" s="3" t="str">
        <f>"1659474"</f>
        <v>1659474</v>
      </c>
      <c r="C280" s="3">
        <v>43071</v>
      </c>
      <c r="D280" s="3" t="s">
        <v>1314</v>
      </c>
      <c r="E280" s="3">
        <v>10416896149</v>
      </c>
      <c r="F280" s="3" t="s">
        <v>1315</v>
      </c>
      <c r="G280" s="3" t="s">
        <v>1316</v>
      </c>
      <c r="H280" s="3" t="s">
        <v>84</v>
      </c>
      <c r="I280" s="3" t="s">
        <v>85</v>
      </c>
      <c r="J280" s="3" t="s">
        <v>157</v>
      </c>
      <c r="K280" s="3" t="s">
        <v>31</v>
      </c>
      <c r="L280" s="3" t="s">
        <v>50</v>
      </c>
      <c r="M280" s="3" t="s">
        <v>548</v>
      </c>
      <c r="N280" s="3"/>
      <c r="O280" s="3"/>
      <c r="P280" s="3"/>
      <c r="Q280" s="3"/>
      <c r="R280" s="3"/>
      <c r="S280" s="3"/>
      <c r="T280" s="3"/>
      <c r="U280" s="3">
        <v>342</v>
      </c>
      <c r="V280" s="4">
        <v>39067</v>
      </c>
      <c r="W280" s="3" t="s">
        <v>33</v>
      </c>
      <c r="X280" s="3" t="s">
        <v>1317</v>
      </c>
    </row>
    <row r="281" spans="1:24" ht="27.95" x14ac:dyDescent="0.3">
      <c r="A281" s="3">
        <v>275</v>
      </c>
      <c r="B281" s="3" t="str">
        <f>"201700214512"</f>
        <v>201700214512</v>
      </c>
      <c r="C281" s="3">
        <v>108973</v>
      </c>
      <c r="D281" s="3" t="s">
        <v>1318</v>
      </c>
      <c r="E281" s="3">
        <v>10022692106</v>
      </c>
      <c r="F281" s="3" t="s">
        <v>1319</v>
      </c>
      <c r="G281" s="3" t="s">
        <v>1320</v>
      </c>
      <c r="H281" s="3" t="s">
        <v>45</v>
      </c>
      <c r="I281" s="3" t="s">
        <v>119</v>
      </c>
      <c r="J281" s="3" t="s">
        <v>588</v>
      </c>
      <c r="K281" s="3" t="s">
        <v>31</v>
      </c>
      <c r="L281" s="3" t="s">
        <v>121</v>
      </c>
      <c r="M281" s="3" t="s">
        <v>181</v>
      </c>
      <c r="N281" s="3"/>
      <c r="O281" s="3"/>
      <c r="P281" s="3"/>
      <c r="Q281" s="3"/>
      <c r="R281" s="3"/>
      <c r="S281" s="3"/>
      <c r="T281" s="3"/>
      <c r="U281" s="3">
        <v>715</v>
      </c>
      <c r="V281" s="4">
        <v>43090</v>
      </c>
      <c r="W281" s="3" t="s">
        <v>33</v>
      </c>
      <c r="X281" s="3" t="s">
        <v>1319</v>
      </c>
    </row>
    <row r="282" spans="1:24" ht="27.95" x14ac:dyDescent="0.3">
      <c r="A282" s="3">
        <v>276</v>
      </c>
      <c r="B282" s="3" t="str">
        <f>"201700214517"</f>
        <v>201700214517</v>
      </c>
      <c r="C282" s="3">
        <v>90736</v>
      </c>
      <c r="D282" s="3" t="s">
        <v>1321</v>
      </c>
      <c r="E282" s="3">
        <v>10020412947</v>
      </c>
      <c r="F282" s="3" t="s">
        <v>1322</v>
      </c>
      <c r="G282" s="3" t="s">
        <v>1323</v>
      </c>
      <c r="H282" s="3" t="s">
        <v>45</v>
      </c>
      <c r="I282" s="3" t="s">
        <v>45</v>
      </c>
      <c r="J282" s="3" t="s">
        <v>524</v>
      </c>
      <c r="K282" s="3" t="s">
        <v>31</v>
      </c>
      <c r="L282" s="3"/>
      <c r="M282" s="3"/>
      <c r="N282" s="3" t="s">
        <v>826</v>
      </c>
      <c r="O282" s="3" t="s">
        <v>236</v>
      </c>
      <c r="P282" s="3"/>
      <c r="Q282" s="3"/>
      <c r="R282" s="3"/>
      <c r="S282" s="3"/>
      <c r="T282" s="3"/>
      <c r="U282" s="3">
        <v>715</v>
      </c>
      <c r="V282" s="4">
        <v>43090</v>
      </c>
      <c r="W282" s="3" t="s">
        <v>33</v>
      </c>
      <c r="X282" s="3" t="s">
        <v>1322</v>
      </c>
    </row>
    <row r="283" spans="1:24" ht="27.95" x14ac:dyDescent="0.3">
      <c r="A283" s="3">
        <v>277</v>
      </c>
      <c r="B283" s="3" t="str">
        <f>"201800020292"</f>
        <v>201800020292</v>
      </c>
      <c r="C283" s="3">
        <v>128298</v>
      </c>
      <c r="D283" s="3" t="s">
        <v>1324</v>
      </c>
      <c r="E283" s="3">
        <v>10056208734</v>
      </c>
      <c r="F283" s="3" t="s">
        <v>1325</v>
      </c>
      <c r="G283" s="3" t="s">
        <v>1326</v>
      </c>
      <c r="H283" s="3" t="s">
        <v>84</v>
      </c>
      <c r="I283" s="3" t="s">
        <v>421</v>
      </c>
      <c r="J283" s="3" t="s">
        <v>422</v>
      </c>
      <c r="K283" s="3" t="s">
        <v>31</v>
      </c>
      <c r="L283" s="3"/>
      <c r="M283" s="3"/>
      <c r="N283" s="3"/>
      <c r="O283" s="3" t="s">
        <v>95</v>
      </c>
      <c r="P283" s="3" t="s">
        <v>269</v>
      </c>
      <c r="Q283" s="3"/>
      <c r="R283" s="3"/>
      <c r="S283" s="3"/>
      <c r="T283" s="3"/>
      <c r="U283" s="3">
        <v>715</v>
      </c>
      <c r="V283" s="4">
        <v>43143</v>
      </c>
      <c r="W283" s="3" t="s">
        <v>33</v>
      </c>
      <c r="X283" s="3" t="s">
        <v>1325</v>
      </c>
    </row>
    <row r="284" spans="1:24" ht="27.95" x14ac:dyDescent="0.3">
      <c r="A284" s="3">
        <v>278</v>
      </c>
      <c r="B284" s="3" t="str">
        <f>"201600140449"</f>
        <v>201600140449</v>
      </c>
      <c r="C284" s="3">
        <v>17935</v>
      </c>
      <c r="D284" s="3" t="s">
        <v>1327</v>
      </c>
      <c r="E284" s="3">
        <v>10432204885</v>
      </c>
      <c r="F284" s="3" t="s">
        <v>1328</v>
      </c>
      <c r="G284" s="3" t="s">
        <v>1329</v>
      </c>
      <c r="H284" s="3" t="s">
        <v>45</v>
      </c>
      <c r="I284" s="3" t="s">
        <v>440</v>
      </c>
      <c r="J284" s="3" t="s">
        <v>440</v>
      </c>
      <c r="K284" s="3" t="s">
        <v>31</v>
      </c>
      <c r="L284" s="3" t="s">
        <v>650</v>
      </c>
      <c r="M284" s="3"/>
      <c r="N284" s="3"/>
      <c r="O284" s="3"/>
      <c r="P284" s="3"/>
      <c r="Q284" s="3"/>
      <c r="R284" s="3"/>
      <c r="S284" s="3"/>
      <c r="T284" s="3"/>
      <c r="U284" s="3">
        <v>330</v>
      </c>
      <c r="V284" s="4">
        <v>42681</v>
      </c>
      <c r="W284" s="3" t="s">
        <v>33</v>
      </c>
      <c r="X284" s="3" t="s">
        <v>1328</v>
      </c>
    </row>
    <row r="285" spans="1:24" ht="27.95" x14ac:dyDescent="0.3">
      <c r="A285" s="3">
        <v>279</v>
      </c>
      <c r="B285" s="3" t="str">
        <f>"1650210"</f>
        <v>1650210</v>
      </c>
      <c r="C285" s="3">
        <v>43744</v>
      </c>
      <c r="D285" s="3" t="s">
        <v>1330</v>
      </c>
      <c r="E285" s="3">
        <v>10013000439</v>
      </c>
      <c r="F285" s="3" t="s">
        <v>1331</v>
      </c>
      <c r="G285" s="3" t="s">
        <v>1332</v>
      </c>
      <c r="H285" s="3" t="s">
        <v>45</v>
      </c>
      <c r="I285" s="3" t="s">
        <v>45</v>
      </c>
      <c r="J285" s="3" t="s">
        <v>994</v>
      </c>
      <c r="K285" s="3" t="s">
        <v>31</v>
      </c>
      <c r="L285" s="3" t="s">
        <v>50</v>
      </c>
      <c r="M285" s="3" t="s">
        <v>48</v>
      </c>
      <c r="N285" s="3" t="s">
        <v>548</v>
      </c>
      <c r="O285" s="3"/>
      <c r="P285" s="3"/>
      <c r="Q285" s="3"/>
      <c r="R285" s="3"/>
      <c r="S285" s="3"/>
      <c r="T285" s="3"/>
      <c r="U285" s="3">
        <v>285</v>
      </c>
      <c r="V285" s="4">
        <v>39078</v>
      </c>
      <c r="W285" s="3" t="s">
        <v>33</v>
      </c>
      <c r="X285" s="3" t="s">
        <v>1333</v>
      </c>
    </row>
    <row r="286" spans="1:24" ht="27.95" x14ac:dyDescent="0.3">
      <c r="A286" s="3">
        <v>280</v>
      </c>
      <c r="B286" s="3" t="str">
        <f>"201800146830"</f>
        <v>201800146830</v>
      </c>
      <c r="C286" s="3">
        <v>128299</v>
      </c>
      <c r="D286" s="3" t="s">
        <v>1334</v>
      </c>
      <c r="E286" s="3">
        <v>10195585500</v>
      </c>
      <c r="F286" s="3" t="s">
        <v>1335</v>
      </c>
      <c r="G286" s="3" t="s">
        <v>1336</v>
      </c>
      <c r="H286" s="3" t="s">
        <v>84</v>
      </c>
      <c r="I286" s="3" t="s">
        <v>421</v>
      </c>
      <c r="J286" s="3" t="s">
        <v>422</v>
      </c>
      <c r="K286" s="3" t="s">
        <v>31</v>
      </c>
      <c r="L286" s="3" t="s">
        <v>752</v>
      </c>
      <c r="M286" s="3" t="s">
        <v>1195</v>
      </c>
      <c r="N286" s="3"/>
      <c r="O286" s="3"/>
      <c r="P286" s="3"/>
      <c r="Q286" s="3"/>
      <c r="R286" s="3"/>
      <c r="S286" s="3"/>
      <c r="T286" s="3"/>
      <c r="U286" s="3">
        <v>715</v>
      </c>
      <c r="V286" s="4">
        <v>43353</v>
      </c>
      <c r="W286" s="3" t="s">
        <v>33</v>
      </c>
      <c r="X286" s="3" t="s">
        <v>1335</v>
      </c>
    </row>
    <row r="287" spans="1:24" ht="27.95" x14ac:dyDescent="0.3">
      <c r="A287" s="3">
        <v>281</v>
      </c>
      <c r="B287" s="3" t="str">
        <f>"1604435"</f>
        <v>1604435</v>
      </c>
      <c r="C287" s="3">
        <v>16792</v>
      </c>
      <c r="D287" s="3" t="s">
        <v>1337</v>
      </c>
      <c r="E287" s="3">
        <v>10011141990</v>
      </c>
      <c r="F287" s="3" t="s">
        <v>1338</v>
      </c>
      <c r="G287" s="3" t="s">
        <v>1339</v>
      </c>
      <c r="H287" s="3" t="s">
        <v>233</v>
      </c>
      <c r="I287" s="3" t="s">
        <v>274</v>
      </c>
      <c r="J287" s="3" t="s">
        <v>274</v>
      </c>
      <c r="K287" s="3" t="s">
        <v>31</v>
      </c>
      <c r="L287" s="3" t="s">
        <v>87</v>
      </c>
      <c r="M287" s="3" t="s">
        <v>1340</v>
      </c>
      <c r="N287" s="3" t="s">
        <v>164</v>
      </c>
      <c r="O287" s="3"/>
      <c r="P287" s="3"/>
      <c r="Q287" s="3"/>
      <c r="R287" s="3"/>
      <c r="S287" s="3"/>
      <c r="T287" s="3"/>
      <c r="U287" s="3">
        <v>342</v>
      </c>
      <c r="V287" s="4">
        <v>38859</v>
      </c>
      <c r="W287" s="3" t="s">
        <v>33</v>
      </c>
      <c r="X287" s="3" t="s">
        <v>1341</v>
      </c>
    </row>
    <row r="288" spans="1:24" ht="27.95" x14ac:dyDescent="0.3">
      <c r="A288" s="3">
        <v>282</v>
      </c>
      <c r="B288" s="3" t="str">
        <f>"1509514"</f>
        <v>1509514</v>
      </c>
      <c r="C288" s="3">
        <v>21458</v>
      </c>
      <c r="D288" s="3" t="s">
        <v>1342</v>
      </c>
      <c r="E288" s="3">
        <v>10032214008</v>
      </c>
      <c r="F288" s="3" t="s">
        <v>1343</v>
      </c>
      <c r="G288" s="3" t="s">
        <v>1344</v>
      </c>
      <c r="H288" s="3" t="s">
        <v>233</v>
      </c>
      <c r="I288" s="3" t="s">
        <v>504</v>
      </c>
      <c r="J288" s="3" t="s">
        <v>504</v>
      </c>
      <c r="K288" s="3" t="s">
        <v>31</v>
      </c>
      <c r="L288" s="3" t="s">
        <v>269</v>
      </c>
      <c r="M288" s="3" t="s">
        <v>108</v>
      </c>
      <c r="N288" s="3" t="s">
        <v>107</v>
      </c>
      <c r="O288" s="3"/>
      <c r="P288" s="3"/>
      <c r="Q288" s="3"/>
      <c r="R288" s="3"/>
      <c r="S288" s="3"/>
      <c r="T288" s="3"/>
      <c r="U288" s="3">
        <v>570</v>
      </c>
      <c r="V288" s="4">
        <v>38265</v>
      </c>
      <c r="W288" s="3" t="s">
        <v>33</v>
      </c>
      <c r="X288" s="3" t="s">
        <v>1345</v>
      </c>
    </row>
    <row r="289" spans="1:24" ht="27.95" x14ac:dyDescent="0.3">
      <c r="A289" s="3">
        <v>283</v>
      </c>
      <c r="B289" s="3" t="str">
        <f>"202000109793"</f>
        <v>202000109793</v>
      </c>
      <c r="C289" s="3">
        <v>150770</v>
      </c>
      <c r="D289" s="3" t="s">
        <v>1346</v>
      </c>
      <c r="E289" s="3">
        <v>10465946291</v>
      </c>
      <c r="F289" s="3" t="s">
        <v>808</v>
      </c>
      <c r="G289" s="3" t="s">
        <v>1347</v>
      </c>
      <c r="H289" s="3" t="s">
        <v>92</v>
      </c>
      <c r="I289" s="3" t="s">
        <v>655</v>
      </c>
      <c r="J289" s="3" t="s">
        <v>956</v>
      </c>
      <c r="K289" s="3" t="s">
        <v>31</v>
      </c>
      <c r="L289" s="3" t="s">
        <v>957</v>
      </c>
      <c r="M289" s="3"/>
      <c r="N289" s="3"/>
      <c r="O289" s="3"/>
      <c r="P289" s="3"/>
      <c r="Q289" s="3"/>
      <c r="R289" s="3"/>
      <c r="S289" s="3"/>
      <c r="T289" s="3"/>
      <c r="U289" s="3">
        <v>715</v>
      </c>
      <c r="V289" s="4">
        <v>44077</v>
      </c>
      <c r="W289" s="3" t="s">
        <v>33</v>
      </c>
      <c r="X289" s="3" t="s">
        <v>808</v>
      </c>
    </row>
    <row r="290" spans="1:24" ht="27.95" x14ac:dyDescent="0.3">
      <c r="A290" s="3">
        <v>284</v>
      </c>
      <c r="B290" s="3" t="str">
        <f>"1498739"</f>
        <v>1498739</v>
      </c>
      <c r="C290" s="3">
        <v>18793</v>
      </c>
      <c r="D290" s="3" t="s">
        <v>1348</v>
      </c>
      <c r="E290" s="3">
        <v>10430330841</v>
      </c>
      <c r="F290" s="3" t="s">
        <v>1349</v>
      </c>
      <c r="G290" s="3" t="s">
        <v>1350</v>
      </c>
      <c r="H290" s="3" t="s">
        <v>45</v>
      </c>
      <c r="I290" s="3" t="s">
        <v>668</v>
      </c>
      <c r="J290" s="3" t="s">
        <v>1055</v>
      </c>
      <c r="K290" s="3" t="s">
        <v>31</v>
      </c>
      <c r="L290" s="3" t="s">
        <v>1351</v>
      </c>
      <c r="M290" s="3" t="s">
        <v>1296</v>
      </c>
      <c r="N290" s="3" t="s">
        <v>1296</v>
      </c>
      <c r="O290" s="3" t="s">
        <v>428</v>
      </c>
      <c r="P290" s="3" t="s">
        <v>428</v>
      </c>
      <c r="Q290" s="3"/>
      <c r="R290" s="3"/>
      <c r="S290" s="3"/>
      <c r="T290" s="3"/>
      <c r="U290" s="3">
        <v>440</v>
      </c>
      <c r="V290" s="4">
        <v>40779</v>
      </c>
      <c r="W290" s="3" t="s">
        <v>33</v>
      </c>
      <c r="X290" s="3" t="s">
        <v>1349</v>
      </c>
    </row>
    <row r="291" spans="1:24" ht="27.95" x14ac:dyDescent="0.3">
      <c r="A291" s="3">
        <v>285</v>
      </c>
      <c r="B291" s="3" t="str">
        <f>"201400066977"</f>
        <v>201400066977</v>
      </c>
      <c r="C291" s="3">
        <v>18806</v>
      </c>
      <c r="D291" s="3" t="s">
        <v>1352</v>
      </c>
      <c r="E291" s="3">
        <v>10025326976</v>
      </c>
      <c r="F291" s="3" t="s">
        <v>1353</v>
      </c>
      <c r="G291" s="3" t="s">
        <v>1354</v>
      </c>
      <c r="H291" s="3" t="s">
        <v>45</v>
      </c>
      <c r="I291" s="3" t="s">
        <v>668</v>
      </c>
      <c r="J291" s="3" t="s">
        <v>669</v>
      </c>
      <c r="K291" s="3" t="s">
        <v>31</v>
      </c>
      <c r="L291" s="3"/>
      <c r="M291" s="3"/>
      <c r="N291" s="3"/>
      <c r="O291" s="3"/>
      <c r="P291" s="3"/>
      <c r="Q291" s="3"/>
      <c r="R291" s="3"/>
      <c r="S291" s="3"/>
      <c r="T291" s="3"/>
      <c r="U291" s="3">
        <v>330</v>
      </c>
      <c r="V291" s="4">
        <v>41815</v>
      </c>
      <c r="W291" s="3" t="s">
        <v>33</v>
      </c>
      <c r="X291" s="3" t="s">
        <v>1353</v>
      </c>
    </row>
    <row r="292" spans="1:24" ht="27.95" x14ac:dyDescent="0.3">
      <c r="A292" s="3">
        <v>286</v>
      </c>
      <c r="B292" s="3" t="str">
        <f>"201800019676"</f>
        <v>201800019676</v>
      </c>
      <c r="C292" s="3">
        <v>86572</v>
      </c>
      <c r="D292" s="3" t="s">
        <v>1355</v>
      </c>
      <c r="E292" s="3">
        <v>10304162894</v>
      </c>
      <c r="F292" s="3" t="s">
        <v>1356</v>
      </c>
      <c r="G292" s="3" t="s">
        <v>1357</v>
      </c>
      <c r="H292" s="3" t="s">
        <v>571</v>
      </c>
      <c r="I292" s="3" t="s">
        <v>571</v>
      </c>
      <c r="J292" s="3" t="s">
        <v>1212</v>
      </c>
      <c r="K292" s="3" t="s">
        <v>31</v>
      </c>
      <c r="L292" s="3" t="s">
        <v>1358</v>
      </c>
      <c r="M292" s="3" t="s">
        <v>1359</v>
      </c>
      <c r="N292" s="3" t="s">
        <v>1360</v>
      </c>
      <c r="O292" s="3" t="s">
        <v>1361</v>
      </c>
      <c r="P292" s="3" t="s">
        <v>1361</v>
      </c>
      <c r="Q292" s="3"/>
      <c r="R292" s="3"/>
      <c r="S292" s="3"/>
      <c r="T292" s="3"/>
      <c r="U292" s="3">
        <v>715</v>
      </c>
      <c r="V292" s="4">
        <v>43140</v>
      </c>
      <c r="W292" s="3" t="s">
        <v>33</v>
      </c>
      <c r="X292" s="3" t="s">
        <v>1356</v>
      </c>
    </row>
    <row r="293" spans="1:24" ht="27.95" x14ac:dyDescent="0.3">
      <c r="A293" s="3">
        <v>287</v>
      </c>
      <c r="B293" s="3" t="str">
        <f>"201900196827"</f>
        <v>201900196827</v>
      </c>
      <c r="C293" s="3">
        <v>148028</v>
      </c>
      <c r="D293" s="3" t="s">
        <v>1362</v>
      </c>
      <c r="E293" s="3">
        <v>10415520382</v>
      </c>
      <c r="F293" s="3" t="s">
        <v>1363</v>
      </c>
      <c r="G293" s="3" t="s">
        <v>1364</v>
      </c>
      <c r="H293" s="3" t="s">
        <v>28</v>
      </c>
      <c r="I293" s="3" t="s">
        <v>55</v>
      </c>
      <c r="J293" s="3" t="s">
        <v>1365</v>
      </c>
      <c r="K293" s="3" t="s">
        <v>31</v>
      </c>
      <c r="L293" s="3" t="s">
        <v>32</v>
      </c>
      <c r="M293" s="3"/>
      <c r="N293" s="3"/>
      <c r="O293" s="3"/>
      <c r="P293" s="3"/>
      <c r="Q293" s="3"/>
      <c r="R293" s="3"/>
      <c r="S293" s="3"/>
      <c r="T293" s="3"/>
      <c r="U293" s="3">
        <v>715</v>
      </c>
      <c r="V293" s="4">
        <v>43796</v>
      </c>
      <c r="W293" s="3" t="s">
        <v>33</v>
      </c>
      <c r="X293" s="3" t="s">
        <v>1363</v>
      </c>
    </row>
    <row r="294" spans="1:24" ht="27.95" x14ac:dyDescent="0.3">
      <c r="A294" s="3">
        <v>288</v>
      </c>
      <c r="B294" s="3" t="str">
        <f>"201900017901"</f>
        <v>201900017901</v>
      </c>
      <c r="C294" s="3">
        <v>141124</v>
      </c>
      <c r="D294" s="3" t="s">
        <v>1366</v>
      </c>
      <c r="E294" s="3">
        <v>10480093157</v>
      </c>
      <c r="F294" s="3" t="s">
        <v>1367</v>
      </c>
      <c r="G294" s="3" t="s">
        <v>1368</v>
      </c>
      <c r="H294" s="3" t="s">
        <v>571</v>
      </c>
      <c r="I294" s="3" t="s">
        <v>1369</v>
      </c>
      <c r="J294" s="3" t="s">
        <v>1369</v>
      </c>
      <c r="K294" s="3" t="s">
        <v>31</v>
      </c>
      <c r="L294" s="3" t="s">
        <v>485</v>
      </c>
      <c r="M294" s="3" t="s">
        <v>39</v>
      </c>
      <c r="N294" s="3"/>
      <c r="O294" s="3"/>
      <c r="P294" s="3"/>
      <c r="Q294" s="3"/>
      <c r="R294" s="3"/>
      <c r="S294" s="3"/>
      <c r="T294" s="3"/>
      <c r="U294" s="3">
        <v>330</v>
      </c>
      <c r="V294" s="4">
        <v>43501</v>
      </c>
      <c r="W294" s="3" t="s">
        <v>33</v>
      </c>
      <c r="X294" s="3" t="s">
        <v>1367</v>
      </c>
    </row>
    <row r="295" spans="1:24" ht="27.95" x14ac:dyDescent="0.3">
      <c r="A295" s="3">
        <v>289</v>
      </c>
      <c r="B295" s="3" t="str">
        <f>"201700223212"</f>
        <v>201700223212</v>
      </c>
      <c r="C295" s="3">
        <v>133873</v>
      </c>
      <c r="D295" s="3" t="s">
        <v>1370</v>
      </c>
      <c r="E295" s="3">
        <v>10199608962</v>
      </c>
      <c r="F295" s="3" t="s">
        <v>1371</v>
      </c>
      <c r="G295" s="3" t="s">
        <v>1372</v>
      </c>
      <c r="H295" s="3" t="s">
        <v>92</v>
      </c>
      <c r="I295" s="3" t="s">
        <v>655</v>
      </c>
      <c r="J295" s="3" t="s">
        <v>1373</v>
      </c>
      <c r="K295" s="3" t="s">
        <v>31</v>
      </c>
      <c r="L295" s="3"/>
      <c r="M295" s="3"/>
      <c r="N295" s="3" t="s">
        <v>115</v>
      </c>
      <c r="O295" s="3"/>
      <c r="P295" s="3"/>
      <c r="Q295" s="3"/>
      <c r="R295" s="3"/>
      <c r="S295" s="3"/>
      <c r="T295" s="3"/>
      <c r="U295" s="3">
        <v>715</v>
      </c>
      <c r="V295" s="4">
        <v>43112</v>
      </c>
      <c r="W295" s="3" t="s">
        <v>33</v>
      </c>
      <c r="X295" s="3" t="s">
        <v>1371</v>
      </c>
    </row>
    <row r="296" spans="1:24" ht="27.95" x14ac:dyDescent="0.3">
      <c r="A296" s="3">
        <v>290</v>
      </c>
      <c r="B296" s="3" t="str">
        <f>"201700214520"</f>
        <v>201700214520</v>
      </c>
      <c r="C296" s="3">
        <v>107480</v>
      </c>
      <c r="D296" s="3" t="s">
        <v>1374</v>
      </c>
      <c r="E296" s="3">
        <v>10802259617</v>
      </c>
      <c r="F296" s="3" t="s">
        <v>1375</v>
      </c>
      <c r="G296" s="3" t="s">
        <v>1376</v>
      </c>
      <c r="H296" s="3" t="s">
        <v>45</v>
      </c>
      <c r="I296" s="3" t="s">
        <v>45</v>
      </c>
      <c r="J296" s="3" t="s">
        <v>1051</v>
      </c>
      <c r="K296" s="3" t="s">
        <v>31</v>
      </c>
      <c r="L296" s="3" t="s">
        <v>121</v>
      </c>
      <c r="M296" s="3" t="s">
        <v>64</v>
      </c>
      <c r="N296" s="3" t="s">
        <v>826</v>
      </c>
      <c r="O296" s="3" t="s">
        <v>236</v>
      </c>
      <c r="P296" s="3"/>
      <c r="Q296" s="3"/>
      <c r="R296" s="3"/>
      <c r="S296" s="3"/>
      <c r="T296" s="3"/>
      <c r="U296" s="3">
        <v>715</v>
      </c>
      <c r="V296" s="4">
        <v>43087</v>
      </c>
      <c r="W296" s="3" t="s">
        <v>33</v>
      </c>
      <c r="X296" s="3" t="s">
        <v>1375</v>
      </c>
    </row>
    <row r="297" spans="1:24" ht="27.95" x14ac:dyDescent="0.3">
      <c r="A297" s="3">
        <v>291</v>
      </c>
      <c r="B297" s="3" t="str">
        <f>"201300140205"</f>
        <v>201300140205</v>
      </c>
      <c r="C297" s="3">
        <v>20037</v>
      </c>
      <c r="D297" s="3" t="s">
        <v>1377</v>
      </c>
      <c r="E297" s="3">
        <v>10017035245</v>
      </c>
      <c r="F297" s="3" t="s">
        <v>1378</v>
      </c>
      <c r="G297" s="3" t="s">
        <v>1379</v>
      </c>
      <c r="H297" s="3" t="s">
        <v>45</v>
      </c>
      <c r="I297" s="3" t="s">
        <v>119</v>
      </c>
      <c r="J297" s="3" t="s">
        <v>588</v>
      </c>
      <c r="K297" s="3" t="s">
        <v>31</v>
      </c>
      <c r="L297" s="3" t="s">
        <v>182</v>
      </c>
      <c r="M297" s="3" t="s">
        <v>181</v>
      </c>
      <c r="N297" s="3"/>
      <c r="O297" s="3"/>
      <c r="P297" s="3"/>
      <c r="Q297" s="3"/>
      <c r="R297" s="3"/>
      <c r="S297" s="3"/>
      <c r="T297" s="3"/>
      <c r="U297" s="3">
        <v>330</v>
      </c>
      <c r="V297" s="4">
        <v>41520</v>
      </c>
      <c r="W297" s="3" t="s">
        <v>33</v>
      </c>
      <c r="X297" s="3" t="s">
        <v>1378</v>
      </c>
    </row>
    <row r="298" spans="1:24" ht="27.95" x14ac:dyDescent="0.3">
      <c r="A298" s="3">
        <v>292</v>
      </c>
      <c r="B298" s="3" t="str">
        <f>"201400132920"</f>
        <v>201400132920</v>
      </c>
      <c r="C298" s="3">
        <v>111600</v>
      </c>
      <c r="D298" s="3" t="s">
        <v>1380</v>
      </c>
      <c r="E298" s="3">
        <v>10273738661</v>
      </c>
      <c r="F298" s="3" t="s">
        <v>1381</v>
      </c>
      <c r="G298" s="3" t="s">
        <v>1382</v>
      </c>
      <c r="H298" s="3" t="s">
        <v>194</v>
      </c>
      <c r="I298" s="3" t="s">
        <v>813</v>
      </c>
      <c r="J298" s="3" t="s">
        <v>813</v>
      </c>
      <c r="K298" s="3" t="s">
        <v>31</v>
      </c>
      <c r="L298" s="3" t="s">
        <v>39</v>
      </c>
      <c r="M298" s="3" t="s">
        <v>40</v>
      </c>
      <c r="N298" s="3" t="s">
        <v>41</v>
      </c>
      <c r="O298" s="3"/>
      <c r="P298" s="3"/>
      <c r="Q298" s="3"/>
      <c r="R298" s="3"/>
      <c r="S298" s="3"/>
      <c r="T298" s="3"/>
      <c r="U298" s="3">
        <v>330</v>
      </c>
      <c r="V298" s="4">
        <v>41929</v>
      </c>
      <c r="W298" s="3" t="s">
        <v>33</v>
      </c>
      <c r="X298" s="3" t="s">
        <v>1381</v>
      </c>
    </row>
    <row r="299" spans="1:24" ht="27.95" x14ac:dyDescent="0.3">
      <c r="A299" s="3">
        <v>293</v>
      </c>
      <c r="B299" s="3" t="str">
        <f>"1922929"</f>
        <v>1922929</v>
      </c>
      <c r="C299" s="3">
        <v>31907</v>
      </c>
      <c r="D299" s="3" t="s">
        <v>1383</v>
      </c>
      <c r="E299" s="3">
        <v>10444886264</v>
      </c>
      <c r="F299" s="3" t="s">
        <v>1384</v>
      </c>
      <c r="G299" s="3" t="s">
        <v>1385</v>
      </c>
      <c r="H299" s="3" t="s">
        <v>45</v>
      </c>
      <c r="I299" s="3" t="s">
        <v>105</v>
      </c>
      <c r="J299" s="3" t="s">
        <v>106</v>
      </c>
      <c r="K299" s="3" t="s">
        <v>31</v>
      </c>
      <c r="L299" s="3" t="s">
        <v>197</v>
      </c>
      <c r="M299" s="3" t="s">
        <v>1386</v>
      </c>
      <c r="N299" s="3" t="s">
        <v>50</v>
      </c>
      <c r="O299" s="3"/>
      <c r="P299" s="3"/>
      <c r="Q299" s="3"/>
      <c r="R299" s="3"/>
      <c r="S299" s="3"/>
      <c r="T299" s="3"/>
      <c r="U299" s="3">
        <v>342</v>
      </c>
      <c r="V299" s="4">
        <v>40060</v>
      </c>
      <c r="W299" s="3" t="s">
        <v>33</v>
      </c>
      <c r="X299" s="3" t="s">
        <v>1387</v>
      </c>
    </row>
    <row r="300" spans="1:24" ht="27.95" x14ac:dyDescent="0.3">
      <c r="A300" s="3">
        <v>294</v>
      </c>
      <c r="B300" s="3" t="str">
        <f>"1819332"</f>
        <v>1819332</v>
      </c>
      <c r="C300" s="3">
        <v>33218</v>
      </c>
      <c r="D300" s="3" t="s">
        <v>1388</v>
      </c>
      <c r="E300" s="3">
        <v>10010441655</v>
      </c>
      <c r="F300" s="3" t="s">
        <v>1389</v>
      </c>
      <c r="G300" s="3" t="s">
        <v>1390</v>
      </c>
      <c r="H300" s="3" t="s">
        <v>233</v>
      </c>
      <c r="I300" s="3" t="s">
        <v>559</v>
      </c>
      <c r="J300" s="3" t="s">
        <v>559</v>
      </c>
      <c r="K300" s="3" t="s">
        <v>31</v>
      </c>
      <c r="L300" s="3" t="s">
        <v>108</v>
      </c>
      <c r="M300" s="3" t="s">
        <v>369</v>
      </c>
      <c r="N300" s="3" t="s">
        <v>87</v>
      </c>
      <c r="O300" s="3"/>
      <c r="P300" s="3"/>
      <c r="Q300" s="3"/>
      <c r="R300" s="3"/>
      <c r="S300" s="3"/>
      <c r="T300" s="3"/>
      <c r="U300" s="3">
        <v>342</v>
      </c>
      <c r="V300" s="4">
        <v>39695</v>
      </c>
      <c r="W300" s="3" t="s">
        <v>33</v>
      </c>
      <c r="X300" s="3" t="s">
        <v>1391</v>
      </c>
    </row>
    <row r="301" spans="1:24" ht="27.95" x14ac:dyDescent="0.3">
      <c r="A301" s="3">
        <v>295</v>
      </c>
      <c r="B301" s="3" t="str">
        <f>"201900114545"</f>
        <v>201900114545</v>
      </c>
      <c r="C301" s="3">
        <v>145242</v>
      </c>
      <c r="D301" s="3" t="s">
        <v>1392</v>
      </c>
      <c r="E301" s="3">
        <v>10006684799</v>
      </c>
      <c r="F301" s="3" t="s">
        <v>1393</v>
      </c>
      <c r="G301" s="3" t="s">
        <v>1394</v>
      </c>
      <c r="H301" s="3" t="s">
        <v>571</v>
      </c>
      <c r="I301" s="3" t="s">
        <v>571</v>
      </c>
      <c r="J301" s="3" t="s">
        <v>1395</v>
      </c>
      <c r="K301" s="3" t="s">
        <v>31</v>
      </c>
      <c r="L301" s="3"/>
      <c r="M301" s="3" t="s">
        <v>40</v>
      </c>
      <c r="N301" s="3" t="s">
        <v>1396</v>
      </c>
      <c r="O301" s="3" t="s">
        <v>39</v>
      </c>
      <c r="P301" s="3" t="s">
        <v>574</v>
      </c>
      <c r="Q301" s="3"/>
      <c r="R301" s="3"/>
      <c r="S301" s="3"/>
      <c r="T301" s="3"/>
      <c r="U301" s="3">
        <v>550</v>
      </c>
      <c r="V301" s="4">
        <v>43661</v>
      </c>
      <c r="W301" s="3" t="s">
        <v>33</v>
      </c>
      <c r="X301" s="3" t="s">
        <v>1393</v>
      </c>
    </row>
    <row r="302" spans="1:24" ht="27.95" x14ac:dyDescent="0.3">
      <c r="A302" s="3">
        <v>296</v>
      </c>
      <c r="B302" s="3" t="str">
        <f>"201300045660"</f>
        <v>201300045660</v>
      </c>
      <c r="C302" s="3">
        <v>17929</v>
      </c>
      <c r="D302" s="3" t="s">
        <v>1397</v>
      </c>
      <c r="E302" s="3">
        <v>10013429869</v>
      </c>
      <c r="F302" s="3" t="s">
        <v>1398</v>
      </c>
      <c r="G302" s="3" t="s">
        <v>1399</v>
      </c>
      <c r="H302" s="3" t="s">
        <v>45</v>
      </c>
      <c r="I302" s="3" t="s">
        <v>105</v>
      </c>
      <c r="J302" s="3" t="s">
        <v>144</v>
      </c>
      <c r="K302" s="3" t="s">
        <v>31</v>
      </c>
      <c r="L302" s="3" t="s">
        <v>182</v>
      </c>
      <c r="M302" s="3" t="s">
        <v>181</v>
      </c>
      <c r="N302" s="3"/>
      <c r="O302" s="3"/>
      <c r="P302" s="3"/>
      <c r="Q302" s="3"/>
      <c r="R302" s="3"/>
      <c r="S302" s="3"/>
      <c r="T302" s="3"/>
      <c r="U302" s="3">
        <v>330</v>
      </c>
      <c r="V302" s="4">
        <v>41336</v>
      </c>
      <c r="W302" s="3" t="s">
        <v>33</v>
      </c>
      <c r="X302" s="3" t="s">
        <v>1398</v>
      </c>
    </row>
    <row r="303" spans="1:24" ht="27.95" x14ac:dyDescent="0.3">
      <c r="A303" s="3">
        <v>297</v>
      </c>
      <c r="B303" s="3" t="str">
        <f>"202000124039"</f>
        <v>202000124039</v>
      </c>
      <c r="C303" s="3">
        <v>151254</v>
      </c>
      <c r="D303" s="3" t="s">
        <v>1400</v>
      </c>
      <c r="E303" s="3">
        <v>10021468199</v>
      </c>
      <c r="F303" s="3" t="s">
        <v>1401</v>
      </c>
      <c r="G303" s="3" t="s">
        <v>1402</v>
      </c>
      <c r="H303" s="3" t="s">
        <v>45</v>
      </c>
      <c r="I303" s="3" t="s">
        <v>328</v>
      </c>
      <c r="J303" s="3" t="s">
        <v>328</v>
      </c>
      <c r="K303" s="3" t="s">
        <v>31</v>
      </c>
      <c r="L303" s="3" t="s">
        <v>340</v>
      </c>
      <c r="M303" s="3"/>
      <c r="N303" s="3"/>
      <c r="O303" s="3"/>
      <c r="P303" s="3"/>
      <c r="Q303" s="3"/>
      <c r="R303" s="3"/>
      <c r="S303" s="3"/>
      <c r="T303" s="3"/>
      <c r="U303" s="3">
        <v>715</v>
      </c>
      <c r="V303" s="4">
        <v>44090</v>
      </c>
      <c r="W303" s="3" t="s">
        <v>33</v>
      </c>
      <c r="X303" s="3" t="s">
        <v>1401</v>
      </c>
    </row>
    <row r="304" spans="1:24" ht="27.95" x14ac:dyDescent="0.3">
      <c r="A304" s="3">
        <v>298</v>
      </c>
      <c r="B304" s="3" t="str">
        <f>"201300057459"</f>
        <v>201300057459</v>
      </c>
      <c r="C304" s="3">
        <v>18480</v>
      </c>
      <c r="D304" s="3" t="s">
        <v>1403</v>
      </c>
      <c r="E304" s="3">
        <v>10018517634</v>
      </c>
      <c r="F304" s="3" t="s">
        <v>1404</v>
      </c>
      <c r="G304" s="3" t="s">
        <v>1405</v>
      </c>
      <c r="H304" s="3" t="s">
        <v>45</v>
      </c>
      <c r="I304" s="3" t="s">
        <v>440</v>
      </c>
      <c r="J304" s="3" t="s">
        <v>441</v>
      </c>
      <c r="K304" s="3" t="s">
        <v>31</v>
      </c>
      <c r="L304" s="3" t="s">
        <v>182</v>
      </c>
      <c r="M304" s="3" t="s">
        <v>181</v>
      </c>
      <c r="N304" s="3"/>
      <c r="O304" s="3"/>
      <c r="P304" s="3"/>
      <c r="Q304" s="3"/>
      <c r="R304" s="3"/>
      <c r="S304" s="3"/>
      <c r="T304" s="3"/>
      <c r="U304" s="3">
        <v>330</v>
      </c>
      <c r="V304" s="4">
        <v>41358</v>
      </c>
      <c r="W304" s="3" t="s">
        <v>33</v>
      </c>
      <c r="X304" s="3" t="s">
        <v>1404</v>
      </c>
    </row>
    <row r="305" spans="1:24" ht="41.95" x14ac:dyDescent="0.3">
      <c r="A305" s="3">
        <v>299</v>
      </c>
      <c r="B305" s="3" t="str">
        <f>"201700214527"</f>
        <v>201700214527</v>
      </c>
      <c r="C305" s="3">
        <v>120533</v>
      </c>
      <c r="D305" s="3" t="s">
        <v>1406</v>
      </c>
      <c r="E305" s="3">
        <v>10800329537</v>
      </c>
      <c r="F305" s="3" t="s">
        <v>1407</v>
      </c>
      <c r="G305" s="3" t="s">
        <v>1408</v>
      </c>
      <c r="H305" s="3" t="s">
        <v>45</v>
      </c>
      <c r="I305" s="3" t="s">
        <v>252</v>
      </c>
      <c r="J305" s="3" t="s">
        <v>1409</v>
      </c>
      <c r="K305" s="3" t="s">
        <v>31</v>
      </c>
      <c r="L305" s="3" t="s">
        <v>826</v>
      </c>
      <c r="M305" s="3" t="s">
        <v>236</v>
      </c>
      <c r="N305" s="3" t="s">
        <v>121</v>
      </c>
      <c r="O305" s="3" t="s">
        <v>64</v>
      </c>
      <c r="P305" s="3"/>
      <c r="Q305" s="3"/>
      <c r="R305" s="3"/>
      <c r="S305" s="3"/>
      <c r="T305" s="3"/>
      <c r="U305" s="3">
        <v>715</v>
      </c>
      <c r="V305" s="4">
        <v>43087</v>
      </c>
      <c r="W305" s="3" t="s">
        <v>33</v>
      </c>
      <c r="X305" s="3" t="s">
        <v>1407</v>
      </c>
    </row>
    <row r="306" spans="1:24" ht="27.95" x14ac:dyDescent="0.3">
      <c r="A306" s="3">
        <v>300</v>
      </c>
      <c r="B306" s="3" t="str">
        <f>"201400088469"</f>
        <v>201400088469</v>
      </c>
      <c r="C306" s="3">
        <v>33330</v>
      </c>
      <c r="D306" s="3" t="s">
        <v>1410</v>
      </c>
      <c r="E306" s="3">
        <v>10018430423</v>
      </c>
      <c r="F306" s="3" t="s">
        <v>1411</v>
      </c>
      <c r="G306" s="3" t="s">
        <v>1412</v>
      </c>
      <c r="H306" s="3" t="s">
        <v>45</v>
      </c>
      <c r="I306" s="3" t="s">
        <v>179</v>
      </c>
      <c r="J306" s="3" t="s">
        <v>180</v>
      </c>
      <c r="K306" s="3" t="s">
        <v>31</v>
      </c>
      <c r="L306" s="3" t="s">
        <v>182</v>
      </c>
      <c r="M306" s="3" t="s">
        <v>181</v>
      </c>
      <c r="N306" s="3"/>
      <c r="O306" s="3"/>
      <c r="P306" s="3"/>
      <c r="Q306" s="3"/>
      <c r="R306" s="3"/>
      <c r="S306" s="3"/>
      <c r="T306" s="3"/>
      <c r="U306" s="3">
        <v>330</v>
      </c>
      <c r="V306" s="4">
        <v>41836</v>
      </c>
      <c r="W306" s="3" t="s">
        <v>33</v>
      </c>
      <c r="X306" s="3" t="s">
        <v>1411</v>
      </c>
    </row>
    <row r="307" spans="1:24" ht="27.95" x14ac:dyDescent="0.3">
      <c r="A307" s="3">
        <v>301</v>
      </c>
      <c r="B307" s="3" t="str">
        <f>"201900110340"</f>
        <v>201900110340</v>
      </c>
      <c r="C307" s="3">
        <v>125060</v>
      </c>
      <c r="D307" s="3" t="s">
        <v>1413</v>
      </c>
      <c r="E307" s="3">
        <v>10083373861</v>
      </c>
      <c r="F307" s="3" t="s">
        <v>1414</v>
      </c>
      <c r="G307" s="3" t="s">
        <v>1415</v>
      </c>
      <c r="H307" s="3" t="s">
        <v>73</v>
      </c>
      <c r="I307" s="3" t="s">
        <v>674</v>
      </c>
      <c r="J307" s="3" t="s">
        <v>675</v>
      </c>
      <c r="K307" s="3" t="s">
        <v>31</v>
      </c>
      <c r="L307" s="3" t="s">
        <v>1416</v>
      </c>
      <c r="M307" s="3"/>
      <c r="N307" s="3"/>
      <c r="O307" s="3"/>
      <c r="P307" s="3"/>
      <c r="Q307" s="3"/>
      <c r="R307" s="3"/>
      <c r="S307" s="3"/>
      <c r="T307" s="3"/>
      <c r="U307" s="3">
        <v>330</v>
      </c>
      <c r="V307" s="4">
        <v>43662</v>
      </c>
      <c r="W307" s="3" t="s">
        <v>33</v>
      </c>
      <c r="X307" s="3" t="s">
        <v>1414</v>
      </c>
    </row>
    <row r="308" spans="1:24" ht="27.95" x14ac:dyDescent="0.3">
      <c r="A308" s="3">
        <v>302</v>
      </c>
      <c r="B308" s="3" t="str">
        <f>"1499850"</f>
        <v>1499850</v>
      </c>
      <c r="C308" s="3">
        <v>93713</v>
      </c>
      <c r="D308" s="3" t="s">
        <v>1417</v>
      </c>
      <c r="E308" s="3">
        <v>10467617252</v>
      </c>
      <c r="F308" s="3" t="s">
        <v>1418</v>
      </c>
      <c r="G308" s="3" t="s">
        <v>1419</v>
      </c>
      <c r="H308" s="3" t="s">
        <v>225</v>
      </c>
      <c r="I308" s="3" t="s">
        <v>1174</v>
      </c>
      <c r="J308" s="3" t="s">
        <v>1174</v>
      </c>
      <c r="K308" s="3" t="s">
        <v>31</v>
      </c>
      <c r="L308" s="3"/>
      <c r="M308" s="3"/>
      <c r="N308" s="3" t="s">
        <v>1420</v>
      </c>
      <c r="O308" s="3"/>
      <c r="P308" s="3"/>
      <c r="Q308" s="3"/>
      <c r="R308" s="3" t="s">
        <v>1421</v>
      </c>
      <c r="S308" s="3"/>
      <c r="T308" s="3"/>
      <c r="U308" s="3">
        <v>570</v>
      </c>
      <c r="V308" s="4">
        <v>40787</v>
      </c>
      <c r="W308" s="3" t="s">
        <v>33</v>
      </c>
      <c r="X308" s="3" t="s">
        <v>1418</v>
      </c>
    </row>
    <row r="309" spans="1:24" ht="27.95" x14ac:dyDescent="0.3">
      <c r="A309" s="3">
        <v>303</v>
      </c>
      <c r="B309" s="3" t="str">
        <f>"201300098093"</f>
        <v>201300098093</v>
      </c>
      <c r="C309" s="3">
        <v>20038</v>
      </c>
      <c r="D309" s="3" t="s">
        <v>1422</v>
      </c>
      <c r="E309" s="3">
        <v>10017047600</v>
      </c>
      <c r="F309" s="3" t="s">
        <v>1423</v>
      </c>
      <c r="G309" s="3" t="s">
        <v>1424</v>
      </c>
      <c r="H309" s="3" t="s">
        <v>45</v>
      </c>
      <c r="I309" s="3" t="s">
        <v>119</v>
      </c>
      <c r="J309" s="3" t="s">
        <v>825</v>
      </c>
      <c r="K309" s="3" t="s">
        <v>31</v>
      </c>
      <c r="L309" s="3" t="s">
        <v>181</v>
      </c>
      <c r="M309" s="3" t="s">
        <v>182</v>
      </c>
      <c r="N309" s="3"/>
      <c r="O309" s="3"/>
      <c r="P309" s="3"/>
      <c r="Q309" s="3"/>
      <c r="R309" s="3"/>
      <c r="S309" s="3"/>
      <c r="T309" s="3"/>
      <c r="U309" s="3">
        <v>330</v>
      </c>
      <c r="V309" s="4">
        <v>41424</v>
      </c>
      <c r="W309" s="3" t="s">
        <v>33</v>
      </c>
      <c r="X309" s="3" t="s">
        <v>1423</v>
      </c>
    </row>
    <row r="310" spans="1:24" ht="27.95" x14ac:dyDescent="0.3">
      <c r="A310" s="3">
        <v>304</v>
      </c>
      <c r="B310" s="3" t="str">
        <f>"201800151055"</f>
        <v>201800151055</v>
      </c>
      <c r="C310" s="3">
        <v>138556</v>
      </c>
      <c r="D310" s="3" t="s">
        <v>1425</v>
      </c>
      <c r="E310" s="3">
        <v>10738048356</v>
      </c>
      <c r="F310" s="3" t="s">
        <v>1426</v>
      </c>
      <c r="G310" s="3" t="s">
        <v>1427</v>
      </c>
      <c r="H310" s="3" t="s">
        <v>571</v>
      </c>
      <c r="I310" s="3" t="s">
        <v>1369</v>
      </c>
      <c r="J310" s="3" t="s">
        <v>1369</v>
      </c>
      <c r="K310" s="3" t="s">
        <v>31</v>
      </c>
      <c r="L310" s="3" t="s">
        <v>826</v>
      </c>
      <c r="M310" s="3" t="s">
        <v>236</v>
      </c>
      <c r="N310" s="3"/>
      <c r="O310" s="3"/>
      <c r="P310" s="3"/>
      <c r="Q310" s="3"/>
      <c r="R310" s="3"/>
      <c r="S310" s="3"/>
      <c r="T310" s="3"/>
      <c r="U310" s="3">
        <v>715</v>
      </c>
      <c r="V310" s="4">
        <v>43354</v>
      </c>
      <c r="W310" s="3" t="s">
        <v>33</v>
      </c>
      <c r="X310" s="3" t="s">
        <v>1426</v>
      </c>
    </row>
    <row r="311" spans="1:24" ht="27.95" x14ac:dyDescent="0.3">
      <c r="A311" s="3">
        <v>305</v>
      </c>
      <c r="B311" s="3" t="str">
        <f>"1327524"</f>
        <v>1327524</v>
      </c>
      <c r="C311" s="3">
        <v>21154</v>
      </c>
      <c r="D311" s="3" t="s">
        <v>1428</v>
      </c>
      <c r="E311" s="3">
        <v>10018391746</v>
      </c>
      <c r="F311" s="3" t="s">
        <v>1429</v>
      </c>
      <c r="G311" s="3" t="s">
        <v>1430</v>
      </c>
      <c r="H311" s="3" t="s">
        <v>45</v>
      </c>
      <c r="I311" s="3" t="s">
        <v>105</v>
      </c>
      <c r="J311" s="3" t="s">
        <v>144</v>
      </c>
      <c r="K311" s="3" t="s">
        <v>31</v>
      </c>
      <c r="L311" s="3" t="s">
        <v>164</v>
      </c>
      <c r="M311" s="3" t="s">
        <v>139</v>
      </c>
      <c r="N311" s="3" t="s">
        <v>50</v>
      </c>
      <c r="O311" s="3"/>
      <c r="P311" s="3"/>
      <c r="Q311" s="3"/>
      <c r="R311" s="3"/>
      <c r="S311" s="3"/>
      <c r="T311" s="3"/>
      <c r="U311" s="3">
        <v>440</v>
      </c>
      <c r="V311" s="4">
        <v>37013</v>
      </c>
      <c r="W311" s="3" t="s">
        <v>33</v>
      </c>
      <c r="X311" s="3" t="s">
        <v>1431</v>
      </c>
    </row>
    <row r="312" spans="1:24" ht="27.95" x14ac:dyDescent="0.3">
      <c r="A312" s="3">
        <v>306</v>
      </c>
      <c r="B312" s="3" t="str">
        <f>"201700214506"</f>
        <v>201700214506</v>
      </c>
      <c r="C312" s="3">
        <v>106281</v>
      </c>
      <c r="D312" s="3" t="s">
        <v>1432</v>
      </c>
      <c r="E312" s="3">
        <v>10404403449</v>
      </c>
      <c r="F312" s="3" t="s">
        <v>1433</v>
      </c>
      <c r="G312" s="3" t="s">
        <v>1434</v>
      </c>
      <c r="H312" s="3" t="s">
        <v>45</v>
      </c>
      <c r="I312" s="3" t="s">
        <v>252</v>
      </c>
      <c r="J312" s="3" t="s">
        <v>279</v>
      </c>
      <c r="K312" s="3" t="s">
        <v>31</v>
      </c>
      <c r="L312" s="3" t="s">
        <v>1435</v>
      </c>
      <c r="M312" s="3" t="s">
        <v>281</v>
      </c>
      <c r="N312" s="3"/>
      <c r="O312" s="3"/>
      <c r="P312" s="3"/>
      <c r="Q312" s="3"/>
      <c r="R312" s="3"/>
      <c r="S312" s="3"/>
      <c r="T312" s="3"/>
      <c r="U312" s="3">
        <v>715</v>
      </c>
      <c r="V312" s="4">
        <v>43090</v>
      </c>
      <c r="W312" s="3" t="s">
        <v>33</v>
      </c>
      <c r="X312" s="3" t="s">
        <v>1433</v>
      </c>
    </row>
    <row r="313" spans="1:24" ht="27.95" x14ac:dyDescent="0.3">
      <c r="A313" s="3">
        <v>307</v>
      </c>
      <c r="B313" s="3" t="str">
        <f>"201500100010"</f>
        <v>201500100010</v>
      </c>
      <c r="C313" s="3">
        <v>116438</v>
      </c>
      <c r="D313" s="3" t="s">
        <v>1436</v>
      </c>
      <c r="E313" s="3">
        <v>10336691031</v>
      </c>
      <c r="F313" s="3" t="s">
        <v>1437</v>
      </c>
      <c r="G313" s="3" t="s">
        <v>1438</v>
      </c>
      <c r="H313" s="3" t="s">
        <v>233</v>
      </c>
      <c r="I313" s="3" t="s">
        <v>262</v>
      </c>
      <c r="J313" s="3" t="s">
        <v>1439</v>
      </c>
      <c r="K313" s="3" t="s">
        <v>31</v>
      </c>
      <c r="L313" s="3" t="s">
        <v>622</v>
      </c>
      <c r="M313" s="3"/>
      <c r="N313" s="3"/>
      <c r="O313" s="3"/>
      <c r="P313" s="3"/>
      <c r="Q313" s="3"/>
      <c r="R313" s="3"/>
      <c r="S313" s="3"/>
      <c r="T313" s="3"/>
      <c r="U313" s="3">
        <v>330</v>
      </c>
      <c r="V313" s="4">
        <v>42220</v>
      </c>
      <c r="W313" s="3" t="s">
        <v>33</v>
      </c>
      <c r="X313" s="3" t="s">
        <v>1437</v>
      </c>
    </row>
    <row r="314" spans="1:24" ht="27.95" x14ac:dyDescent="0.3">
      <c r="A314" s="3">
        <v>308</v>
      </c>
      <c r="B314" s="3" t="str">
        <f>"1405137"</f>
        <v>1405137</v>
      </c>
      <c r="C314" s="3">
        <v>18811</v>
      </c>
      <c r="D314" s="3" t="s">
        <v>1440</v>
      </c>
      <c r="E314" s="3">
        <v>10025260096</v>
      </c>
      <c r="F314" s="3" t="s">
        <v>1441</v>
      </c>
      <c r="G314" s="3" t="s">
        <v>1442</v>
      </c>
      <c r="H314" s="3" t="s">
        <v>45</v>
      </c>
      <c r="I314" s="3" t="s">
        <v>668</v>
      </c>
      <c r="J314" s="3" t="s">
        <v>669</v>
      </c>
      <c r="K314" s="3" t="s">
        <v>31</v>
      </c>
      <c r="L314" s="3" t="s">
        <v>164</v>
      </c>
      <c r="M314" s="3" t="s">
        <v>139</v>
      </c>
      <c r="N314" s="3" t="s">
        <v>50</v>
      </c>
      <c r="O314" s="3"/>
      <c r="P314" s="3"/>
      <c r="Q314" s="3"/>
      <c r="R314" s="3"/>
      <c r="S314" s="3"/>
      <c r="T314" s="3"/>
      <c r="U314" s="3">
        <v>1100</v>
      </c>
      <c r="V314" s="4">
        <v>37677</v>
      </c>
      <c r="W314" s="3" t="s">
        <v>33</v>
      </c>
      <c r="X314" s="3" t="s">
        <v>1443</v>
      </c>
    </row>
    <row r="315" spans="1:24" ht="27.95" x14ac:dyDescent="0.3">
      <c r="A315" s="3">
        <v>309</v>
      </c>
      <c r="B315" s="3" t="str">
        <f>"1405136"</f>
        <v>1405136</v>
      </c>
      <c r="C315" s="3">
        <v>33577</v>
      </c>
      <c r="D315" s="3" t="s">
        <v>1444</v>
      </c>
      <c r="E315" s="3">
        <v>10803892259</v>
      </c>
      <c r="F315" s="3" t="s">
        <v>1445</v>
      </c>
      <c r="G315" s="3" t="s">
        <v>1446</v>
      </c>
      <c r="H315" s="3" t="s">
        <v>45</v>
      </c>
      <c r="I315" s="3" t="s">
        <v>105</v>
      </c>
      <c r="J315" s="3" t="s">
        <v>106</v>
      </c>
      <c r="K315" s="3" t="s">
        <v>31</v>
      </c>
      <c r="L315" s="3" t="s">
        <v>50</v>
      </c>
      <c r="M315" s="3" t="s">
        <v>164</v>
      </c>
      <c r="N315" s="3" t="s">
        <v>683</v>
      </c>
      <c r="O315" s="3"/>
      <c r="P315" s="3"/>
      <c r="Q315" s="3"/>
      <c r="R315" s="3"/>
      <c r="S315" s="3"/>
      <c r="T315" s="3"/>
      <c r="U315" s="3">
        <v>798</v>
      </c>
      <c r="V315" s="4">
        <v>37677</v>
      </c>
      <c r="W315" s="3" t="s">
        <v>33</v>
      </c>
      <c r="X315" s="3" t="s">
        <v>1447</v>
      </c>
    </row>
    <row r="316" spans="1:24" ht="27.95" x14ac:dyDescent="0.3">
      <c r="A316" s="3">
        <v>310</v>
      </c>
      <c r="B316" s="3" t="str">
        <f>"201400169499"</f>
        <v>201400169499</v>
      </c>
      <c r="C316" s="3">
        <v>113085</v>
      </c>
      <c r="D316" s="3" t="s">
        <v>1448</v>
      </c>
      <c r="E316" s="3">
        <v>10236829061</v>
      </c>
      <c r="F316" s="3" t="s">
        <v>1449</v>
      </c>
      <c r="G316" s="3" t="s">
        <v>1450</v>
      </c>
      <c r="H316" s="3" t="s">
        <v>233</v>
      </c>
      <c r="I316" s="3" t="s">
        <v>234</v>
      </c>
      <c r="J316" s="3" t="s">
        <v>1284</v>
      </c>
      <c r="K316" s="3" t="s">
        <v>31</v>
      </c>
      <c r="L316" s="3" t="s">
        <v>41</v>
      </c>
      <c r="M316" s="3" t="s">
        <v>264</v>
      </c>
      <c r="N316" s="3" t="s">
        <v>50</v>
      </c>
      <c r="O316" s="3"/>
      <c r="P316" s="3"/>
      <c r="Q316" s="3"/>
      <c r="R316" s="3"/>
      <c r="S316" s="3"/>
      <c r="T316" s="3"/>
      <c r="U316" s="3">
        <v>330</v>
      </c>
      <c r="V316" s="4">
        <v>42024</v>
      </c>
      <c r="W316" s="3" t="s">
        <v>33</v>
      </c>
      <c r="X316" s="3" t="s">
        <v>1449</v>
      </c>
    </row>
    <row r="317" spans="1:24" ht="27.95" x14ac:dyDescent="0.3">
      <c r="A317" s="3">
        <v>311</v>
      </c>
      <c r="B317" s="3" t="str">
        <f>"201700214502"</f>
        <v>201700214502</v>
      </c>
      <c r="C317" s="3">
        <v>33540</v>
      </c>
      <c r="D317" s="3" t="s">
        <v>1451</v>
      </c>
      <c r="E317" s="3">
        <v>10017049386</v>
      </c>
      <c r="F317" s="3" t="s">
        <v>1452</v>
      </c>
      <c r="G317" s="3" t="s">
        <v>1453</v>
      </c>
      <c r="H317" s="3" t="s">
        <v>45</v>
      </c>
      <c r="I317" s="3" t="s">
        <v>119</v>
      </c>
      <c r="J317" s="3" t="s">
        <v>1454</v>
      </c>
      <c r="K317" s="3" t="s">
        <v>31</v>
      </c>
      <c r="L317" s="3"/>
      <c r="M317" s="3"/>
      <c r="N317" s="3" t="s">
        <v>826</v>
      </c>
      <c r="O317" s="3" t="s">
        <v>1455</v>
      </c>
      <c r="P317" s="3"/>
      <c r="Q317" s="3"/>
      <c r="R317" s="3"/>
      <c r="S317" s="3"/>
      <c r="T317" s="3"/>
      <c r="U317" s="3">
        <v>715</v>
      </c>
      <c r="V317" s="4">
        <v>43090</v>
      </c>
      <c r="W317" s="3" t="s">
        <v>33</v>
      </c>
      <c r="X317" s="3" t="s">
        <v>1456</v>
      </c>
    </row>
    <row r="318" spans="1:24" ht="27.95" x14ac:dyDescent="0.3">
      <c r="A318" s="3">
        <v>312</v>
      </c>
      <c r="B318" s="3" t="str">
        <f>"201900021967"</f>
        <v>201900021967</v>
      </c>
      <c r="C318" s="3">
        <v>141267</v>
      </c>
      <c r="D318" s="3" t="s">
        <v>1457</v>
      </c>
      <c r="E318" s="3">
        <v>10453137720</v>
      </c>
      <c r="F318" s="3" t="s">
        <v>1458</v>
      </c>
      <c r="G318" s="3" t="s">
        <v>1459</v>
      </c>
      <c r="H318" s="3" t="s">
        <v>28</v>
      </c>
      <c r="I318" s="3" t="s">
        <v>203</v>
      </c>
      <c r="J318" s="3" t="s">
        <v>1460</v>
      </c>
      <c r="K318" s="3" t="s">
        <v>31</v>
      </c>
      <c r="L318" s="3" t="s">
        <v>347</v>
      </c>
      <c r="M318" s="3"/>
      <c r="N318" s="3"/>
      <c r="O318" s="3"/>
      <c r="P318" s="3"/>
      <c r="Q318" s="3"/>
      <c r="R318" s="3"/>
      <c r="S318" s="3"/>
      <c r="T318" s="3"/>
      <c r="U318" s="3">
        <v>715</v>
      </c>
      <c r="V318" s="4">
        <v>43505</v>
      </c>
      <c r="W318" s="3" t="s">
        <v>33</v>
      </c>
      <c r="X318" s="3" t="s">
        <v>1461</v>
      </c>
    </row>
    <row r="319" spans="1:24" ht="27.95" x14ac:dyDescent="0.3">
      <c r="A319" s="3">
        <v>313</v>
      </c>
      <c r="B319" s="3" t="str">
        <f>"201900045675"</f>
        <v>201900045675</v>
      </c>
      <c r="C319" s="3">
        <v>142079</v>
      </c>
      <c r="D319" s="3" t="s">
        <v>1462</v>
      </c>
      <c r="E319" s="3">
        <v>10702564421</v>
      </c>
      <c r="F319" s="3" t="s">
        <v>1463</v>
      </c>
      <c r="G319" s="3" t="s">
        <v>1464</v>
      </c>
      <c r="H319" s="3" t="s">
        <v>84</v>
      </c>
      <c r="I319" s="3" t="s">
        <v>308</v>
      </c>
      <c r="J319" s="3" t="s">
        <v>1465</v>
      </c>
      <c r="K319" s="3" t="s">
        <v>31</v>
      </c>
      <c r="L319" s="3" t="s">
        <v>1466</v>
      </c>
      <c r="M319" s="3"/>
      <c r="N319" s="3"/>
      <c r="O319" s="3"/>
      <c r="P319" s="3"/>
      <c r="Q319" s="3"/>
      <c r="R319" s="3"/>
      <c r="S319" s="3"/>
      <c r="T319" s="3"/>
      <c r="U319" s="3">
        <v>715</v>
      </c>
      <c r="V319" s="4">
        <v>43558</v>
      </c>
      <c r="W319" s="3" t="s">
        <v>33</v>
      </c>
      <c r="X319" s="3" t="s">
        <v>1463</v>
      </c>
    </row>
    <row r="320" spans="1:24" ht="27.95" x14ac:dyDescent="0.3">
      <c r="A320" s="3">
        <v>314</v>
      </c>
      <c r="B320" s="3" t="str">
        <f>"202000121192"</f>
        <v>202000121192</v>
      </c>
      <c r="C320" s="3">
        <v>97238</v>
      </c>
      <c r="D320" s="3" t="s">
        <v>1467</v>
      </c>
      <c r="E320" s="3">
        <v>10443081602</v>
      </c>
      <c r="F320" s="3" t="s">
        <v>1468</v>
      </c>
      <c r="G320" s="3" t="s">
        <v>1469</v>
      </c>
      <c r="H320" s="3" t="s">
        <v>28</v>
      </c>
      <c r="I320" s="3" t="s">
        <v>29</v>
      </c>
      <c r="J320" s="3" t="s">
        <v>1470</v>
      </c>
      <c r="K320" s="3" t="s">
        <v>31</v>
      </c>
      <c r="L320" s="3" t="s">
        <v>1089</v>
      </c>
      <c r="M320" s="3"/>
      <c r="N320" s="3"/>
      <c r="O320" s="3"/>
      <c r="P320" s="3"/>
      <c r="Q320" s="3"/>
      <c r="R320" s="3"/>
      <c r="S320" s="3"/>
      <c r="T320" s="3"/>
      <c r="U320" s="3">
        <v>330</v>
      </c>
      <c r="V320" s="4">
        <v>44096</v>
      </c>
      <c r="W320" s="4">
        <v>44461</v>
      </c>
      <c r="X320" s="3" t="s">
        <v>1468</v>
      </c>
    </row>
    <row r="321" spans="1:24" ht="27.95" x14ac:dyDescent="0.3">
      <c r="A321" s="3">
        <v>315</v>
      </c>
      <c r="B321" s="3" t="str">
        <f>"201800045844"</f>
        <v>201800045844</v>
      </c>
      <c r="C321" s="3">
        <v>135165</v>
      </c>
      <c r="D321" s="3" t="s">
        <v>1471</v>
      </c>
      <c r="E321" s="3">
        <v>10030875244</v>
      </c>
      <c r="F321" s="3" t="s">
        <v>1472</v>
      </c>
      <c r="G321" s="3" t="s">
        <v>1473</v>
      </c>
      <c r="H321" s="3" t="s">
        <v>233</v>
      </c>
      <c r="I321" s="3" t="s">
        <v>504</v>
      </c>
      <c r="J321" s="3" t="s">
        <v>700</v>
      </c>
      <c r="K321" s="3" t="s">
        <v>31</v>
      </c>
      <c r="L321" s="3" t="s">
        <v>50</v>
      </c>
      <c r="M321" s="3" t="s">
        <v>264</v>
      </c>
      <c r="N321" s="3" t="s">
        <v>41</v>
      </c>
      <c r="O321" s="3"/>
      <c r="P321" s="3"/>
      <c r="Q321" s="3"/>
      <c r="R321" s="3"/>
      <c r="S321" s="3"/>
      <c r="T321" s="3"/>
      <c r="U321" s="3">
        <v>330</v>
      </c>
      <c r="V321" s="4">
        <v>43184</v>
      </c>
      <c r="W321" s="3" t="s">
        <v>33</v>
      </c>
      <c r="X321" s="3" t="s">
        <v>1472</v>
      </c>
    </row>
    <row r="322" spans="1:24" ht="27.95" x14ac:dyDescent="0.3">
      <c r="A322" s="3">
        <v>316</v>
      </c>
      <c r="B322" s="3" t="str">
        <f>"201600012809"</f>
        <v>201600012809</v>
      </c>
      <c r="C322" s="3">
        <v>119693</v>
      </c>
      <c r="D322" s="3" t="s">
        <v>1474</v>
      </c>
      <c r="E322" s="3">
        <v>10403578431</v>
      </c>
      <c r="F322" s="3" t="s">
        <v>1475</v>
      </c>
      <c r="G322" s="3" t="s">
        <v>1476</v>
      </c>
      <c r="H322" s="3" t="s">
        <v>84</v>
      </c>
      <c r="I322" s="3" t="s">
        <v>92</v>
      </c>
      <c r="J322" s="3" t="s">
        <v>1477</v>
      </c>
      <c r="K322" s="3" t="s">
        <v>31</v>
      </c>
      <c r="L322" s="3" t="s">
        <v>264</v>
      </c>
      <c r="M322" s="3" t="s">
        <v>50</v>
      </c>
      <c r="N322" s="3" t="s">
        <v>41</v>
      </c>
      <c r="O322" s="3"/>
      <c r="P322" s="3"/>
      <c r="Q322" s="3"/>
      <c r="R322" s="3"/>
      <c r="S322" s="3"/>
      <c r="T322" s="3"/>
      <c r="U322" s="3">
        <v>330</v>
      </c>
      <c r="V322" s="4">
        <v>42409</v>
      </c>
      <c r="W322" s="3" t="s">
        <v>33</v>
      </c>
      <c r="X322" s="3" t="s">
        <v>1475</v>
      </c>
    </row>
    <row r="323" spans="1:24" ht="27.95" x14ac:dyDescent="0.3">
      <c r="A323" s="3">
        <v>317</v>
      </c>
      <c r="B323" s="3" t="str">
        <f>"201300134286"</f>
        <v>201300134286</v>
      </c>
      <c r="C323" s="3">
        <v>96150</v>
      </c>
      <c r="D323" s="3" t="s">
        <v>1478</v>
      </c>
      <c r="E323" s="3">
        <v>10025425401</v>
      </c>
      <c r="F323" s="3" t="s">
        <v>1479</v>
      </c>
      <c r="G323" s="3" t="s">
        <v>1480</v>
      </c>
      <c r="H323" s="3" t="s">
        <v>45</v>
      </c>
      <c r="I323" s="3" t="s">
        <v>448</v>
      </c>
      <c r="J323" s="3" t="s">
        <v>1093</v>
      </c>
      <c r="K323" s="3" t="s">
        <v>31</v>
      </c>
      <c r="L323" s="3" t="s">
        <v>181</v>
      </c>
      <c r="M323" s="3" t="s">
        <v>182</v>
      </c>
      <c r="N323" s="3"/>
      <c r="O323" s="3"/>
      <c r="P323" s="3"/>
      <c r="Q323" s="3"/>
      <c r="R323" s="3"/>
      <c r="S323" s="3"/>
      <c r="T323" s="3"/>
      <c r="U323" s="3">
        <v>330</v>
      </c>
      <c r="V323" s="4">
        <v>41502</v>
      </c>
      <c r="W323" s="3" t="s">
        <v>33</v>
      </c>
      <c r="X323" s="3" t="s">
        <v>1479</v>
      </c>
    </row>
    <row r="324" spans="1:24" ht="27.95" x14ac:dyDescent="0.3">
      <c r="A324" s="3">
        <v>318</v>
      </c>
      <c r="B324" s="3" t="str">
        <f>"201300170922"</f>
        <v>201300170922</v>
      </c>
      <c r="C324" s="3">
        <v>18449</v>
      </c>
      <c r="D324" s="3" t="s">
        <v>1481</v>
      </c>
      <c r="E324" s="3">
        <v>10251273851</v>
      </c>
      <c r="F324" s="3" t="s">
        <v>1482</v>
      </c>
      <c r="G324" s="3" t="s">
        <v>1483</v>
      </c>
      <c r="H324" s="3" t="s">
        <v>28</v>
      </c>
      <c r="I324" s="3" t="s">
        <v>174</v>
      </c>
      <c r="J324" s="3" t="s">
        <v>758</v>
      </c>
      <c r="K324" s="3" t="s">
        <v>31</v>
      </c>
      <c r="L324" s="3" t="s">
        <v>181</v>
      </c>
      <c r="M324" s="3" t="s">
        <v>182</v>
      </c>
      <c r="N324" s="3"/>
      <c r="O324" s="3"/>
      <c r="P324" s="3"/>
      <c r="Q324" s="3"/>
      <c r="R324" s="3"/>
      <c r="S324" s="3"/>
      <c r="T324" s="3"/>
      <c r="U324" s="3">
        <v>330</v>
      </c>
      <c r="V324" s="4">
        <v>41607</v>
      </c>
      <c r="W324" s="3" t="s">
        <v>33</v>
      </c>
      <c r="X324" s="3" t="s">
        <v>1482</v>
      </c>
    </row>
    <row r="325" spans="1:24" ht="27.95" x14ac:dyDescent="0.3">
      <c r="A325" s="3">
        <v>319</v>
      </c>
      <c r="B325" s="3" t="str">
        <f>"201600114912"</f>
        <v>201600114912</v>
      </c>
      <c r="C325" s="3">
        <v>17939</v>
      </c>
      <c r="D325" s="3" t="s">
        <v>1484</v>
      </c>
      <c r="E325" s="3">
        <v>10024361387</v>
      </c>
      <c r="F325" s="3" t="s">
        <v>1485</v>
      </c>
      <c r="G325" s="3" t="s">
        <v>1486</v>
      </c>
      <c r="H325" s="3" t="s">
        <v>45</v>
      </c>
      <c r="I325" s="3" t="s">
        <v>668</v>
      </c>
      <c r="J325" s="3" t="s">
        <v>669</v>
      </c>
      <c r="K325" s="3" t="s">
        <v>31</v>
      </c>
      <c r="L325" s="3"/>
      <c r="M325" s="3"/>
      <c r="N325" s="3"/>
      <c r="O325" s="3" t="s">
        <v>1487</v>
      </c>
      <c r="P325" s="3"/>
      <c r="Q325" s="3"/>
      <c r="R325" s="3"/>
      <c r="S325" s="3"/>
      <c r="T325" s="3"/>
      <c r="U325" s="3">
        <v>330</v>
      </c>
      <c r="V325" s="4">
        <v>42606</v>
      </c>
      <c r="W325" s="3" t="s">
        <v>33</v>
      </c>
      <c r="X325" s="3" t="s">
        <v>1485</v>
      </c>
    </row>
    <row r="326" spans="1:24" ht="27.95" x14ac:dyDescent="0.3">
      <c r="A326" s="3">
        <v>320</v>
      </c>
      <c r="B326" s="3" t="str">
        <f>"201500067521"</f>
        <v>201500067521</v>
      </c>
      <c r="C326" s="3">
        <v>37443</v>
      </c>
      <c r="D326" s="3" t="s">
        <v>1488</v>
      </c>
      <c r="E326" s="3">
        <v>10404127549</v>
      </c>
      <c r="F326" s="3" t="s">
        <v>1489</v>
      </c>
      <c r="G326" s="3" t="s">
        <v>1490</v>
      </c>
      <c r="H326" s="3" t="s">
        <v>45</v>
      </c>
      <c r="I326" s="3" t="s">
        <v>105</v>
      </c>
      <c r="J326" s="3" t="s">
        <v>106</v>
      </c>
      <c r="K326" s="3" t="s">
        <v>31</v>
      </c>
      <c r="L326" s="3"/>
      <c r="M326" s="3"/>
      <c r="N326" s="3"/>
      <c r="O326" s="3" t="s">
        <v>64</v>
      </c>
      <c r="P326" s="3" t="s">
        <v>121</v>
      </c>
      <c r="Q326" s="3"/>
      <c r="R326" s="3"/>
      <c r="S326" s="3"/>
      <c r="T326" s="3"/>
      <c r="U326" s="3">
        <v>330</v>
      </c>
      <c r="V326" s="4">
        <v>42164</v>
      </c>
      <c r="W326" s="3" t="s">
        <v>33</v>
      </c>
      <c r="X326" s="3" t="s">
        <v>1489</v>
      </c>
    </row>
    <row r="327" spans="1:24" ht="27.95" x14ac:dyDescent="0.3">
      <c r="A327" s="3">
        <v>321</v>
      </c>
      <c r="B327" s="3" t="str">
        <f>"201800034890"</f>
        <v>201800034890</v>
      </c>
      <c r="C327" s="3">
        <v>134809</v>
      </c>
      <c r="D327" s="3" t="s">
        <v>1491</v>
      </c>
      <c r="E327" s="3">
        <v>10272783310</v>
      </c>
      <c r="F327" s="3" t="s">
        <v>1492</v>
      </c>
      <c r="G327" s="3" t="s">
        <v>1493</v>
      </c>
      <c r="H327" s="3" t="s">
        <v>194</v>
      </c>
      <c r="I327" s="3" t="s">
        <v>208</v>
      </c>
      <c r="J327" s="3" t="s">
        <v>1494</v>
      </c>
      <c r="K327" s="3" t="s">
        <v>31</v>
      </c>
      <c r="L327" s="3" t="s">
        <v>1495</v>
      </c>
      <c r="M327" s="3"/>
      <c r="N327" s="3"/>
      <c r="O327" s="3"/>
      <c r="P327" s="3"/>
      <c r="Q327" s="3"/>
      <c r="R327" s="3"/>
      <c r="S327" s="3"/>
      <c r="T327" s="3"/>
      <c r="U327" s="3">
        <v>165</v>
      </c>
      <c r="V327" s="4">
        <v>43180</v>
      </c>
      <c r="W327" s="3" t="s">
        <v>33</v>
      </c>
      <c r="X327" s="3" t="s">
        <v>1492</v>
      </c>
    </row>
    <row r="328" spans="1:24" ht="27.95" x14ac:dyDescent="0.3">
      <c r="A328" s="3">
        <v>322</v>
      </c>
      <c r="B328" s="3" t="str">
        <f>"201900085856"</f>
        <v>201900085856</v>
      </c>
      <c r="C328" s="3">
        <v>141757</v>
      </c>
      <c r="D328" s="3" t="s">
        <v>1496</v>
      </c>
      <c r="E328" s="3">
        <v>10246828976</v>
      </c>
      <c r="F328" s="3" t="s">
        <v>1497</v>
      </c>
      <c r="G328" s="3" t="s">
        <v>1498</v>
      </c>
      <c r="H328" s="3" t="s">
        <v>28</v>
      </c>
      <c r="I328" s="3" t="s">
        <v>1203</v>
      </c>
      <c r="J328" s="3" t="s">
        <v>1204</v>
      </c>
      <c r="K328" s="3" t="s">
        <v>31</v>
      </c>
      <c r="L328" s="3" t="s">
        <v>32</v>
      </c>
      <c r="M328" s="3"/>
      <c r="N328" s="3"/>
      <c r="O328" s="3"/>
      <c r="P328" s="3"/>
      <c r="Q328" s="3"/>
      <c r="R328" s="3"/>
      <c r="S328" s="3"/>
      <c r="T328" s="3"/>
      <c r="U328" s="3">
        <v>715</v>
      </c>
      <c r="V328" s="4">
        <v>43619</v>
      </c>
      <c r="W328" s="3" t="s">
        <v>33</v>
      </c>
      <c r="X328" s="3" t="s">
        <v>1497</v>
      </c>
    </row>
    <row r="329" spans="1:24" ht="27.95" x14ac:dyDescent="0.3">
      <c r="A329" s="3">
        <v>323</v>
      </c>
      <c r="B329" s="3" t="str">
        <f>"201800001380"</f>
        <v>201800001380</v>
      </c>
      <c r="C329" s="3">
        <v>133882</v>
      </c>
      <c r="D329" s="3" t="s">
        <v>1499</v>
      </c>
      <c r="E329" s="3">
        <v>10800418602</v>
      </c>
      <c r="F329" s="3" t="s">
        <v>1500</v>
      </c>
      <c r="G329" s="3" t="s">
        <v>1501</v>
      </c>
      <c r="H329" s="3" t="s">
        <v>233</v>
      </c>
      <c r="I329" s="3" t="s">
        <v>234</v>
      </c>
      <c r="J329" s="3" t="s">
        <v>1502</v>
      </c>
      <c r="K329" s="3" t="s">
        <v>31</v>
      </c>
      <c r="L329" s="3" t="s">
        <v>95</v>
      </c>
      <c r="M329" s="3" t="s">
        <v>94</v>
      </c>
      <c r="N329" s="3"/>
      <c r="O329" s="3"/>
      <c r="P329" s="3"/>
      <c r="Q329" s="3"/>
      <c r="R329" s="3"/>
      <c r="S329" s="3"/>
      <c r="T329" s="3"/>
      <c r="U329" s="3">
        <v>715</v>
      </c>
      <c r="V329" s="4">
        <v>43111</v>
      </c>
      <c r="W329" s="3" t="s">
        <v>33</v>
      </c>
      <c r="X329" s="3" t="s">
        <v>1500</v>
      </c>
    </row>
    <row r="330" spans="1:24" ht="41.95" x14ac:dyDescent="0.3">
      <c r="A330" s="3">
        <v>324</v>
      </c>
      <c r="B330" s="3" t="str">
        <f>"202000121196"</f>
        <v>202000121196</v>
      </c>
      <c r="C330" s="3">
        <v>115602</v>
      </c>
      <c r="D330" s="3" t="s">
        <v>1503</v>
      </c>
      <c r="E330" s="3">
        <v>10244841771</v>
      </c>
      <c r="F330" s="3" t="s">
        <v>772</v>
      </c>
      <c r="G330" s="3" t="s">
        <v>1504</v>
      </c>
      <c r="H330" s="3" t="s">
        <v>28</v>
      </c>
      <c r="I330" s="3" t="s">
        <v>29</v>
      </c>
      <c r="J330" s="3" t="s">
        <v>774</v>
      </c>
      <c r="K330" s="3" t="s">
        <v>31</v>
      </c>
      <c r="L330" s="3" t="s">
        <v>347</v>
      </c>
      <c r="M330" s="3"/>
      <c r="N330" s="3"/>
      <c r="O330" s="3"/>
      <c r="P330" s="3"/>
      <c r="Q330" s="3"/>
      <c r="R330" s="3"/>
      <c r="S330" s="3"/>
      <c r="T330" s="3"/>
      <c r="U330" s="3">
        <v>715</v>
      </c>
      <c r="V330" s="4">
        <v>44088</v>
      </c>
      <c r="W330" s="4">
        <v>44453</v>
      </c>
      <c r="X330" s="3" t="s">
        <v>772</v>
      </c>
    </row>
    <row r="331" spans="1:24" ht="27.95" x14ac:dyDescent="0.3">
      <c r="A331" s="3">
        <v>325</v>
      </c>
      <c r="B331" s="3" t="str">
        <f>"201700154503"</f>
        <v>201700154503</v>
      </c>
      <c r="C331" s="3">
        <v>128927</v>
      </c>
      <c r="D331" s="3" t="s">
        <v>1505</v>
      </c>
      <c r="E331" s="3">
        <v>20601514622</v>
      </c>
      <c r="F331" s="3" t="s">
        <v>1506</v>
      </c>
      <c r="G331" s="3" t="s">
        <v>1507</v>
      </c>
      <c r="H331" s="3" t="s">
        <v>150</v>
      </c>
      <c r="I331" s="3" t="s">
        <v>151</v>
      </c>
      <c r="J331" s="3" t="s">
        <v>1508</v>
      </c>
      <c r="K331" s="3" t="s">
        <v>31</v>
      </c>
      <c r="L331" s="3" t="s">
        <v>1416</v>
      </c>
      <c r="M331" s="3"/>
      <c r="N331" s="3"/>
      <c r="O331" s="3"/>
      <c r="P331" s="3"/>
      <c r="Q331" s="3"/>
      <c r="R331" s="3"/>
      <c r="S331" s="3"/>
      <c r="T331" s="3"/>
      <c r="U331" s="3">
        <v>330</v>
      </c>
      <c r="V331" s="4">
        <v>43000</v>
      </c>
      <c r="W331" s="3" t="s">
        <v>33</v>
      </c>
      <c r="X331" s="3" t="s">
        <v>1509</v>
      </c>
    </row>
    <row r="332" spans="1:24" ht="27.95" x14ac:dyDescent="0.3">
      <c r="A332" s="3">
        <v>326</v>
      </c>
      <c r="B332" s="3" t="str">
        <f>"201800148523"</f>
        <v>201800148523</v>
      </c>
      <c r="C332" s="3">
        <v>131655</v>
      </c>
      <c r="D332" s="3" t="s">
        <v>1510</v>
      </c>
      <c r="E332" s="3">
        <v>10282779299</v>
      </c>
      <c r="F332" s="3" t="s">
        <v>1511</v>
      </c>
      <c r="G332" s="3" t="s">
        <v>1512</v>
      </c>
      <c r="H332" s="3" t="s">
        <v>1513</v>
      </c>
      <c r="I332" s="3" t="s">
        <v>1514</v>
      </c>
      <c r="J332" s="3" t="s">
        <v>1515</v>
      </c>
      <c r="K332" s="3" t="s">
        <v>31</v>
      </c>
      <c r="L332" s="3"/>
      <c r="M332" s="3" t="s">
        <v>485</v>
      </c>
      <c r="N332" s="3" t="s">
        <v>40</v>
      </c>
      <c r="O332" s="3"/>
      <c r="P332" s="3"/>
      <c r="Q332" s="3"/>
      <c r="R332" s="3"/>
      <c r="S332" s="3"/>
      <c r="T332" s="3"/>
      <c r="U332" s="3">
        <v>330</v>
      </c>
      <c r="V332" s="4">
        <v>43388</v>
      </c>
      <c r="W332" s="3" t="s">
        <v>33</v>
      </c>
      <c r="X332" s="3" t="s">
        <v>1511</v>
      </c>
    </row>
    <row r="333" spans="1:24" ht="27.95" x14ac:dyDescent="0.3">
      <c r="A333" s="3">
        <v>327</v>
      </c>
      <c r="B333" s="3" t="str">
        <f>"202000112071"</f>
        <v>202000112071</v>
      </c>
      <c r="C333" s="3">
        <v>150835</v>
      </c>
      <c r="D333" s="3" t="s">
        <v>1516</v>
      </c>
      <c r="E333" s="3">
        <v>10401606179</v>
      </c>
      <c r="F333" s="3" t="s">
        <v>1517</v>
      </c>
      <c r="G333" s="3" t="s">
        <v>1518</v>
      </c>
      <c r="H333" s="3" t="s">
        <v>28</v>
      </c>
      <c r="I333" s="3" t="s">
        <v>1203</v>
      </c>
      <c r="J333" s="3" t="s">
        <v>1204</v>
      </c>
      <c r="K333" s="3" t="s">
        <v>31</v>
      </c>
      <c r="L333" s="3" t="s">
        <v>32</v>
      </c>
      <c r="M333" s="3"/>
      <c r="N333" s="3"/>
      <c r="O333" s="3"/>
      <c r="P333" s="3"/>
      <c r="Q333" s="3"/>
      <c r="R333" s="3"/>
      <c r="S333" s="3"/>
      <c r="T333" s="3"/>
      <c r="U333" s="3">
        <v>715</v>
      </c>
      <c r="V333" s="4">
        <v>44070</v>
      </c>
      <c r="W333" s="3" t="s">
        <v>33</v>
      </c>
      <c r="X333" s="3" t="s">
        <v>1517</v>
      </c>
    </row>
    <row r="334" spans="1:24" ht="27.95" x14ac:dyDescent="0.3">
      <c r="A334" s="3">
        <v>328</v>
      </c>
      <c r="B334" s="3" t="str">
        <f>"202000032055"</f>
        <v>202000032055</v>
      </c>
      <c r="C334" s="3">
        <v>142005</v>
      </c>
      <c r="D334" s="3" t="s">
        <v>1519</v>
      </c>
      <c r="E334" s="3">
        <v>10412390321</v>
      </c>
      <c r="F334" s="3" t="s">
        <v>1520</v>
      </c>
      <c r="G334" s="3" t="s">
        <v>1521</v>
      </c>
      <c r="H334" s="3" t="s">
        <v>1513</v>
      </c>
      <c r="I334" s="3" t="s">
        <v>1514</v>
      </c>
      <c r="J334" s="3" t="s">
        <v>1522</v>
      </c>
      <c r="K334" s="3" t="s">
        <v>31</v>
      </c>
      <c r="L334" s="3"/>
      <c r="M334" s="3"/>
      <c r="N334" s="3"/>
      <c r="O334" s="3"/>
      <c r="P334" s="3"/>
      <c r="Q334" s="3"/>
      <c r="R334" s="3" t="s">
        <v>1523</v>
      </c>
      <c r="S334" s="3"/>
      <c r="T334" s="3"/>
      <c r="U334" s="3">
        <v>330</v>
      </c>
      <c r="V334" s="4">
        <v>44027</v>
      </c>
      <c r="W334" s="4">
        <v>44392</v>
      </c>
      <c r="X334" s="3" t="s">
        <v>1520</v>
      </c>
    </row>
    <row r="335" spans="1:24" ht="27.95" x14ac:dyDescent="0.3">
      <c r="A335" s="3">
        <v>329</v>
      </c>
      <c r="B335" s="3" t="str">
        <f>"1441304"</f>
        <v>1441304</v>
      </c>
      <c r="C335" s="3">
        <v>18803</v>
      </c>
      <c r="D335" s="3" t="s">
        <v>1524</v>
      </c>
      <c r="E335" s="3">
        <v>10024130415</v>
      </c>
      <c r="F335" s="3" t="s">
        <v>1525</v>
      </c>
      <c r="G335" s="3" t="s">
        <v>1526</v>
      </c>
      <c r="H335" s="3" t="s">
        <v>45</v>
      </c>
      <c r="I335" s="3" t="s">
        <v>46</v>
      </c>
      <c r="J335" s="3" t="s">
        <v>411</v>
      </c>
      <c r="K335" s="3" t="s">
        <v>31</v>
      </c>
      <c r="L335" s="3" t="s">
        <v>139</v>
      </c>
      <c r="M335" s="3" t="s">
        <v>50</v>
      </c>
      <c r="N335" s="3" t="s">
        <v>164</v>
      </c>
      <c r="O335" s="3"/>
      <c r="P335" s="3"/>
      <c r="Q335" s="3"/>
      <c r="R335" s="3"/>
      <c r="S335" s="3"/>
      <c r="T335" s="3"/>
      <c r="U335" s="3">
        <v>1100</v>
      </c>
      <c r="V335" s="4">
        <v>37873</v>
      </c>
      <c r="W335" s="3" t="s">
        <v>33</v>
      </c>
      <c r="X335" s="3" t="s">
        <v>1527</v>
      </c>
    </row>
    <row r="336" spans="1:24" ht="27.95" x14ac:dyDescent="0.3">
      <c r="A336" s="3">
        <v>330</v>
      </c>
      <c r="B336" s="3" t="str">
        <f>"201800161447"</f>
        <v>201800161447</v>
      </c>
      <c r="C336" s="3">
        <v>21024</v>
      </c>
      <c r="D336" s="3" t="s">
        <v>1528</v>
      </c>
      <c r="E336" s="3">
        <v>10025343871</v>
      </c>
      <c r="F336" s="3" t="s">
        <v>1529</v>
      </c>
      <c r="G336" s="3" t="s">
        <v>1530</v>
      </c>
      <c r="H336" s="3" t="s">
        <v>45</v>
      </c>
      <c r="I336" s="3" t="s">
        <v>448</v>
      </c>
      <c r="J336" s="3" t="s">
        <v>728</v>
      </c>
      <c r="K336" s="3" t="s">
        <v>31</v>
      </c>
      <c r="L336" s="3" t="s">
        <v>80</v>
      </c>
      <c r="M336" s="3"/>
      <c r="N336" s="3"/>
      <c r="O336" s="3"/>
      <c r="P336" s="3"/>
      <c r="Q336" s="3"/>
      <c r="R336" s="3"/>
      <c r="S336" s="3"/>
      <c r="T336" s="3"/>
      <c r="U336" s="3">
        <v>330</v>
      </c>
      <c r="V336" s="4">
        <v>43402</v>
      </c>
      <c r="W336" s="3" t="s">
        <v>33</v>
      </c>
      <c r="X336" s="3" t="s">
        <v>1529</v>
      </c>
    </row>
    <row r="337" spans="1:24" ht="27.95" x14ac:dyDescent="0.3">
      <c r="A337" s="3">
        <v>331</v>
      </c>
      <c r="B337" s="3" t="str">
        <f>"201300074656"</f>
        <v>201300074656</v>
      </c>
      <c r="C337" s="3">
        <v>34519</v>
      </c>
      <c r="D337" s="3" t="s">
        <v>1531</v>
      </c>
      <c r="E337" s="3">
        <v>10107087473</v>
      </c>
      <c r="F337" s="3" t="s">
        <v>1532</v>
      </c>
      <c r="G337" s="3" t="s">
        <v>1533</v>
      </c>
      <c r="H337" s="3" t="s">
        <v>45</v>
      </c>
      <c r="I337" s="3" t="s">
        <v>45</v>
      </c>
      <c r="J337" s="3" t="s">
        <v>1534</v>
      </c>
      <c r="K337" s="3" t="s">
        <v>31</v>
      </c>
      <c r="L337" s="3" t="s">
        <v>182</v>
      </c>
      <c r="M337" s="3" t="s">
        <v>181</v>
      </c>
      <c r="N337" s="3"/>
      <c r="O337" s="3"/>
      <c r="P337" s="3"/>
      <c r="Q337" s="3"/>
      <c r="R337" s="3"/>
      <c r="S337" s="3"/>
      <c r="T337" s="3"/>
      <c r="U337" s="3">
        <v>330</v>
      </c>
      <c r="V337" s="4">
        <v>41393</v>
      </c>
      <c r="W337" s="3" t="s">
        <v>33</v>
      </c>
      <c r="X337" s="3" t="s">
        <v>1532</v>
      </c>
    </row>
    <row r="338" spans="1:24" ht="27.95" x14ac:dyDescent="0.3">
      <c r="A338" s="3">
        <v>332</v>
      </c>
      <c r="B338" s="3" t="str">
        <f>"201300161241"</f>
        <v>201300161241</v>
      </c>
      <c r="C338" s="3">
        <v>105795</v>
      </c>
      <c r="D338" s="3" t="s">
        <v>1535</v>
      </c>
      <c r="E338" s="3">
        <v>10040603854</v>
      </c>
      <c r="F338" s="3" t="s">
        <v>1536</v>
      </c>
      <c r="G338" s="3" t="s">
        <v>1537</v>
      </c>
      <c r="H338" s="3" t="s">
        <v>464</v>
      </c>
      <c r="I338" s="3" t="s">
        <v>464</v>
      </c>
      <c r="J338" s="3" t="s">
        <v>1538</v>
      </c>
      <c r="K338" s="3" t="s">
        <v>31</v>
      </c>
      <c r="L338" s="3"/>
      <c r="M338" s="3"/>
      <c r="N338" s="3" t="s">
        <v>65</v>
      </c>
      <c r="O338" s="3" t="s">
        <v>41</v>
      </c>
      <c r="P338" s="3"/>
      <c r="Q338" s="3"/>
      <c r="R338" s="3"/>
      <c r="S338" s="3"/>
      <c r="T338" s="3"/>
      <c r="U338" s="3">
        <v>330</v>
      </c>
      <c r="V338" s="4">
        <v>41587</v>
      </c>
      <c r="W338" s="3" t="s">
        <v>33</v>
      </c>
      <c r="X338" s="3" t="s">
        <v>1536</v>
      </c>
    </row>
    <row r="339" spans="1:24" ht="27.95" x14ac:dyDescent="0.3">
      <c r="A339" s="3">
        <v>333</v>
      </c>
      <c r="B339" s="3" t="str">
        <f>"201900106220"</f>
        <v>201900106220</v>
      </c>
      <c r="C339" s="3">
        <v>145014</v>
      </c>
      <c r="D339" s="3" t="s">
        <v>1539</v>
      </c>
      <c r="E339" s="3">
        <v>10720810676</v>
      </c>
      <c r="F339" s="3" t="s">
        <v>1540</v>
      </c>
      <c r="G339" s="3" t="s">
        <v>1541</v>
      </c>
      <c r="H339" s="3" t="s">
        <v>37</v>
      </c>
      <c r="I339" s="3" t="s">
        <v>1542</v>
      </c>
      <c r="J339" s="3" t="s">
        <v>1543</v>
      </c>
      <c r="K339" s="3" t="s">
        <v>31</v>
      </c>
      <c r="L339" s="3" t="s">
        <v>1416</v>
      </c>
      <c r="M339" s="3"/>
      <c r="N339" s="3"/>
      <c r="O339" s="3"/>
      <c r="P339" s="3"/>
      <c r="Q339" s="3"/>
      <c r="R339" s="3"/>
      <c r="S339" s="3"/>
      <c r="T339" s="3"/>
      <c r="U339" s="3">
        <v>330</v>
      </c>
      <c r="V339" s="4">
        <v>43650</v>
      </c>
      <c r="W339" s="3" t="s">
        <v>33</v>
      </c>
      <c r="X339" s="3" t="s">
        <v>1540</v>
      </c>
    </row>
    <row r="340" spans="1:24" ht="27.95" x14ac:dyDescent="0.3">
      <c r="A340" s="3">
        <v>334</v>
      </c>
      <c r="B340" s="3" t="str">
        <f>"201800058196"</f>
        <v>201800058196</v>
      </c>
      <c r="C340" s="3">
        <v>135516</v>
      </c>
      <c r="D340" s="3" t="s">
        <v>1544</v>
      </c>
      <c r="E340" s="3">
        <v>10465946291</v>
      </c>
      <c r="F340" s="3" t="s">
        <v>653</v>
      </c>
      <c r="G340" s="3" t="s">
        <v>1545</v>
      </c>
      <c r="H340" s="3" t="s">
        <v>92</v>
      </c>
      <c r="I340" s="3" t="s">
        <v>655</v>
      </c>
      <c r="J340" s="3" t="s">
        <v>656</v>
      </c>
      <c r="K340" s="3" t="s">
        <v>31</v>
      </c>
      <c r="L340" s="3" t="s">
        <v>95</v>
      </c>
      <c r="M340" s="3" t="s">
        <v>94</v>
      </c>
      <c r="N340" s="3"/>
      <c r="O340" s="3"/>
      <c r="P340" s="3"/>
      <c r="Q340" s="3"/>
      <c r="R340" s="3"/>
      <c r="S340" s="3"/>
      <c r="T340" s="3"/>
      <c r="U340" s="3">
        <v>715</v>
      </c>
      <c r="V340" s="4">
        <v>43201</v>
      </c>
      <c r="W340" s="3" t="s">
        <v>33</v>
      </c>
      <c r="X340" s="3" t="s">
        <v>653</v>
      </c>
    </row>
    <row r="341" spans="1:24" ht="27.95" x14ac:dyDescent="0.3">
      <c r="A341" s="3">
        <v>335</v>
      </c>
      <c r="B341" s="3" t="str">
        <f>"201900142771"</f>
        <v>201900142771</v>
      </c>
      <c r="C341" s="3">
        <v>146319</v>
      </c>
      <c r="D341" s="3" t="s">
        <v>1546</v>
      </c>
      <c r="E341" s="3">
        <v>10805726305</v>
      </c>
      <c r="F341" s="3" t="s">
        <v>1547</v>
      </c>
      <c r="G341" s="3" t="s">
        <v>1548</v>
      </c>
      <c r="H341" s="3" t="s">
        <v>92</v>
      </c>
      <c r="I341" s="3" t="s">
        <v>655</v>
      </c>
      <c r="J341" s="3" t="s">
        <v>1549</v>
      </c>
      <c r="K341" s="3" t="s">
        <v>31</v>
      </c>
      <c r="L341" s="3" t="s">
        <v>115</v>
      </c>
      <c r="M341" s="3"/>
      <c r="N341" s="3"/>
      <c r="O341" s="3"/>
      <c r="P341" s="3"/>
      <c r="Q341" s="3"/>
      <c r="R341" s="3"/>
      <c r="S341" s="3"/>
      <c r="T341" s="3"/>
      <c r="U341" s="3">
        <v>715</v>
      </c>
      <c r="V341" s="4">
        <v>43717</v>
      </c>
      <c r="W341" s="3" t="s">
        <v>33</v>
      </c>
      <c r="X341" s="3" t="s">
        <v>1547</v>
      </c>
    </row>
    <row r="342" spans="1:24" ht="27.95" x14ac:dyDescent="0.3">
      <c r="A342" s="3">
        <v>336</v>
      </c>
      <c r="B342" s="3" t="str">
        <f>"201900095039"</f>
        <v>201900095039</v>
      </c>
      <c r="C342" s="3">
        <v>144678</v>
      </c>
      <c r="D342" s="3" t="s">
        <v>1550</v>
      </c>
      <c r="E342" s="3">
        <v>10702564421</v>
      </c>
      <c r="F342" s="3" t="s">
        <v>1551</v>
      </c>
      <c r="G342" s="3" t="s">
        <v>1552</v>
      </c>
      <c r="H342" s="3" t="s">
        <v>84</v>
      </c>
      <c r="I342" s="3" t="s">
        <v>308</v>
      </c>
      <c r="J342" s="3" t="s">
        <v>1465</v>
      </c>
      <c r="K342" s="3" t="s">
        <v>31</v>
      </c>
      <c r="L342" s="3" t="s">
        <v>269</v>
      </c>
      <c r="M342" s="3" t="s">
        <v>95</v>
      </c>
      <c r="N342" s="3"/>
      <c r="O342" s="3"/>
      <c r="P342" s="3"/>
      <c r="Q342" s="3"/>
      <c r="R342" s="3"/>
      <c r="S342" s="3"/>
      <c r="T342" s="3"/>
      <c r="U342" s="3">
        <v>0</v>
      </c>
      <c r="V342" s="4">
        <v>43634</v>
      </c>
      <c r="W342" s="3" t="s">
        <v>33</v>
      </c>
      <c r="X342" s="3" t="s">
        <v>1551</v>
      </c>
    </row>
    <row r="343" spans="1:24" ht="27.95" x14ac:dyDescent="0.3">
      <c r="A343" s="3">
        <v>337</v>
      </c>
      <c r="B343" s="3" t="str">
        <f>"201600125086"</f>
        <v>201600125086</v>
      </c>
      <c r="C343" s="3">
        <v>123565</v>
      </c>
      <c r="D343" s="3" t="s">
        <v>1553</v>
      </c>
      <c r="E343" s="3">
        <v>10010814176</v>
      </c>
      <c r="F343" s="3" t="s">
        <v>1554</v>
      </c>
      <c r="G343" s="3" t="s">
        <v>1555</v>
      </c>
      <c r="H343" s="3" t="s">
        <v>233</v>
      </c>
      <c r="I343" s="3" t="s">
        <v>262</v>
      </c>
      <c r="J343" s="3" t="s">
        <v>1556</v>
      </c>
      <c r="K343" s="3" t="s">
        <v>31</v>
      </c>
      <c r="L343" s="3" t="s">
        <v>622</v>
      </c>
      <c r="M343" s="3"/>
      <c r="N343" s="3"/>
      <c r="O343" s="3"/>
      <c r="P343" s="3"/>
      <c r="Q343" s="3"/>
      <c r="R343" s="3"/>
      <c r="S343" s="3"/>
      <c r="T343" s="3"/>
      <c r="U343" s="3">
        <v>330</v>
      </c>
      <c r="V343" s="4">
        <v>42618</v>
      </c>
      <c r="W343" s="3" t="s">
        <v>33</v>
      </c>
      <c r="X343" s="3" t="s">
        <v>1554</v>
      </c>
    </row>
    <row r="344" spans="1:24" ht="27.95" x14ac:dyDescent="0.3">
      <c r="A344" s="3">
        <v>338</v>
      </c>
      <c r="B344" s="3" t="str">
        <f>"201200034220"</f>
        <v>201200034220</v>
      </c>
      <c r="C344" s="3">
        <v>96133</v>
      </c>
      <c r="D344" s="3" t="s">
        <v>1557</v>
      </c>
      <c r="E344" s="3">
        <v>10211241034</v>
      </c>
      <c r="F344" s="3" t="s">
        <v>1558</v>
      </c>
      <c r="G344" s="3" t="s">
        <v>1559</v>
      </c>
      <c r="H344" s="3" t="s">
        <v>73</v>
      </c>
      <c r="I344" s="3" t="s">
        <v>1560</v>
      </c>
      <c r="J344" s="3" t="s">
        <v>1560</v>
      </c>
      <c r="K344" s="3" t="s">
        <v>31</v>
      </c>
      <c r="L344" s="3"/>
      <c r="M344" s="3"/>
      <c r="N344" s="3"/>
      <c r="O344" s="3"/>
      <c r="P344" s="3" t="s">
        <v>41</v>
      </c>
      <c r="Q344" s="3" t="s">
        <v>40</v>
      </c>
      <c r="R344" s="3"/>
      <c r="S344" s="3"/>
      <c r="T344" s="3"/>
      <c r="U344" s="3">
        <v>165</v>
      </c>
      <c r="V344" s="4">
        <v>40994</v>
      </c>
      <c r="W344" s="3" t="s">
        <v>33</v>
      </c>
      <c r="X344" s="3" t="s">
        <v>1561</v>
      </c>
    </row>
    <row r="345" spans="1:24" ht="27.95" x14ac:dyDescent="0.3">
      <c r="A345" s="3">
        <v>339</v>
      </c>
      <c r="B345" s="3" t="str">
        <f>"201800003505"</f>
        <v>201800003505</v>
      </c>
      <c r="C345" s="3">
        <v>21156</v>
      </c>
      <c r="D345" s="3" t="s">
        <v>1562</v>
      </c>
      <c r="E345" s="3">
        <v>10742159375</v>
      </c>
      <c r="F345" s="3" t="s">
        <v>1563</v>
      </c>
      <c r="G345" s="3" t="s">
        <v>1564</v>
      </c>
      <c r="H345" s="3" t="s">
        <v>45</v>
      </c>
      <c r="I345" s="3" t="s">
        <v>328</v>
      </c>
      <c r="J345" s="3" t="s">
        <v>329</v>
      </c>
      <c r="K345" s="3" t="s">
        <v>31</v>
      </c>
      <c r="L345" s="3" t="s">
        <v>1565</v>
      </c>
      <c r="M345" s="3" t="s">
        <v>1566</v>
      </c>
      <c r="N345" s="3" t="s">
        <v>1351</v>
      </c>
      <c r="O345" s="3" t="s">
        <v>428</v>
      </c>
      <c r="P345" s="3" t="s">
        <v>428</v>
      </c>
      <c r="Q345" s="3"/>
      <c r="R345" s="3"/>
      <c r="S345" s="3"/>
      <c r="T345" s="3"/>
      <c r="U345" s="3">
        <v>715</v>
      </c>
      <c r="V345" s="4">
        <v>43111</v>
      </c>
      <c r="W345" s="3" t="s">
        <v>33</v>
      </c>
      <c r="X345" s="3" t="s">
        <v>1563</v>
      </c>
    </row>
    <row r="346" spans="1:24" ht="27.95" x14ac:dyDescent="0.3">
      <c r="A346" s="3">
        <v>340</v>
      </c>
      <c r="B346" s="3" t="str">
        <f>"201700156771"</f>
        <v>201700156771</v>
      </c>
      <c r="C346" s="3">
        <v>132013</v>
      </c>
      <c r="D346" s="3" t="s">
        <v>1567</v>
      </c>
      <c r="E346" s="3">
        <v>10224810062</v>
      </c>
      <c r="F346" s="3" t="s">
        <v>1568</v>
      </c>
      <c r="G346" s="3" t="s">
        <v>1569</v>
      </c>
      <c r="H346" s="3" t="s">
        <v>73</v>
      </c>
      <c r="I346" s="3" t="s">
        <v>416</v>
      </c>
      <c r="J346" s="3" t="s">
        <v>976</v>
      </c>
      <c r="K346" s="3" t="s">
        <v>31</v>
      </c>
      <c r="L346" s="3" t="s">
        <v>806</v>
      </c>
      <c r="M346" s="3"/>
      <c r="N346" s="3"/>
      <c r="O346" s="3"/>
      <c r="P346" s="3"/>
      <c r="Q346" s="3"/>
      <c r="R346" s="3"/>
      <c r="S346" s="3"/>
      <c r="T346" s="3"/>
      <c r="U346" s="3">
        <v>330</v>
      </c>
      <c r="V346" s="4">
        <v>43006</v>
      </c>
      <c r="W346" s="3" t="s">
        <v>33</v>
      </c>
      <c r="X346" s="3" t="s">
        <v>1568</v>
      </c>
    </row>
    <row r="347" spans="1:24" ht="27.95" x14ac:dyDescent="0.3">
      <c r="A347" s="3">
        <v>341</v>
      </c>
      <c r="B347" s="3" t="str">
        <f>"201300115122"</f>
        <v>201300115122</v>
      </c>
      <c r="C347" s="3">
        <v>103918</v>
      </c>
      <c r="D347" s="3" t="s">
        <v>1570</v>
      </c>
      <c r="E347" s="3">
        <v>10081754786</v>
      </c>
      <c r="F347" s="3" t="s">
        <v>1571</v>
      </c>
      <c r="G347" s="3" t="s">
        <v>1572</v>
      </c>
      <c r="H347" s="3" t="s">
        <v>73</v>
      </c>
      <c r="I347" s="3" t="s">
        <v>674</v>
      </c>
      <c r="J347" s="3" t="s">
        <v>688</v>
      </c>
      <c r="K347" s="3" t="s">
        <v>31</v>
      </c>
      <c r="L347" s="3" t="s">
        <v>41</v>
      </c>
      <c r="M347" s="3" t="s">
        <v>40</v>
      </c>
      <c r="N347" s="3" t="s">
        <v>39</v>
      </c>
      <c r="O347" s="3"/>
      <c r="P347" s="3"/>
      <c r="Q347" s="3"/>
      <c r="R347" s="3"/>
      <c r="S347" s="3"/>
      <c r="T347" s="3"/>
      <c r="U347" s="3">
        <v>330</v>
      </c>
      <c r="V347" s="4">
        <v>41488</v>
      </c>
      <c r="W347" s="3" t="s">
        <v>33</v>
      </c>
      <c r="X347" s="3" t="s">
        <v>1571</v>
      </c>
    </row>
    <row r="348" spans="1:24" ht="27.95" x14ac:dyDescent="0.3">
      <c r="A348" s="3">
        <v>342</v>
      </c>
      <c r="B348" s="3" t="str">
        <f>"201900029188"</f>
        <v>201900029188</v>
      </c>
      <c r="C348" s="3">
        <v>141505</v>
      </c>
      <c r="D348" s="3" t="s">
        <v>1573</v>
      </c>
      <c r="E348" s="3">
        <v>10277524118</v>
      </c>
      <c r="F348" s="3" t="s">
        <v>1574</v>
      </c>
      <c r="G348" s="3" t="s">
        <v>1575</v>
      </c>
      <c r="H348" s="3" t="s">
        <v>84</v>
      </c>
      <c r="I348" s="3" t="s">
        <v>85</v>
      </c>
      <c r="J348" s="3" t="s">
        <v>157</v>
      </c>
      <c r="K348" s="3" t="s">
        <v>31</v>
      </c>
      <c r="L348" s="3" t="s">
        <v>269</v>
      </c>
      <c r="M348" s="3" t="s">
        <v>95</v>
      </c>
      <c r="N348" s="3"/>
      <c r="O348" s="3"/>
      <c r="P348" s="3"/>
      <c r="Q348" s="3"/>
      <c r="R348" s="3"/>
      <c r="S348" s="3"/>
      <c r="T348" s="3"/>
      <c r="U348" s="3">
        <v>715</v>
      </c>
      <c r="V348" s="4">
        <v>43523</v>
      </c>
      <c r="W348" s="3" t="s">
        <v>33</v>
      </c>
      <c r="X348" s="3" t="s">
        <v>1576</v>
      </c>
    </row>
    <row r="349" spans="1:24" ht="27.95" x14ac:dyDescent="0.3">
      <c r="A349" s="3">
        <v>343</v>
      </c>
      <c r="B349" s="3" t="str">
        <f>"201800003504"</f>
        <v>201800003504</v>
      </c>
      <c r="C349" s="3">
        <v>40536</v>
      </c>
      <c r="D349" s="3" t="s">
        <v>1577</v>
      </c>
      <c r="E349" s="3">
        <v>10025278530</v>
      </c>
      <c r="F349" s="3" t="s">
        <v>1578</v>
      </c>
      <c r="G349" s="3" t="s">
        <v>1579</v>
      </c>
      <c r="H349" s="3" t="s">
        <v>45</v>
      </c>
      <c r="I349" s="3" t="s">
        <v>668</v>
      </c>
      <c r="J349" s="3" t="s">
        <v>1055</v>
      </c>
      <c r="K349" s="3" t="s">
        <v>31</v>
      </c>
      <c r="L349" s="3" t="s">
        <v>182</v>
      </c>
      <c r="M349" s="3" t="s">
        <v>181</v>
      </c>
      <c r="N349" s="3" t="s">
        <v>826</v>
      </c>
      <c r="O349" s="3" t="s">
        <v>236</v>
      </c>
      <c r="P349" s="3"/>
      <c r="Q349" s="3"/>
      <c r="R349" s="3"/>
      <c r="S349" s="3"/>
      <c r="T349" s="3"/>
      <c r="U349" s="3">
        <v>715</v>
      </c>
      <c r="V349" s="4">
        <v>43111</v>
      </c>
      <c r="W349" s="3" t="s">
        <v>33</v>
      </c>
      <c r="X349" s="3" t="s">
        <v>1578</v>
      </c>
    </row>
    <row r="350" spans="1:24" ht="27.95" x14ac:dyDescent="0.3">
      <c r="A350" s="3">
        <v>344</v>
      </c>
      <c r="B350" s="3" t="str">
        <f>"201900098379"</f>
        <v>201900098379</v>
      </c>
      <c r="C350" s="3">
        <v>144858</v>
      </c>
      <c r="D350" s="3" t="s">
        <v>1580</v>
      </c>
      <c r="E350" s="3">
        <v>10228901348</v>
      </c>
      <c r="F350" s="3" t="s">
        <v>1581</v>
      </c>
      <c r="G350" s="3" t="s">
        <v>1582</v>
      </c>
      <c r="H350" s="3" t="s">
        <v>73</v>
      </c>
      <c r="I350" s="3" t="s">
        <v>674</v>
      </c>
      <c r="J350" s="3" t="s">
        <v>688</v>
      </c>
      <c r="K350" s="3" t="s">
        <v>31</v>
      </c>
      <c r="L350" s="3" t="s">
        <v>57</v>
      </c>
      <c r="M350" s="3"/>
      <c r="N350" s="3"/>
      <c r="O350" s="3"/>
      <c r="P350" s="3"/>
      <c r="Q350" s="3"/>
      <c r="R350" s="3"/>
      <c r="S350" s="3"/>
      <c r="T350" s="3"/>
      <c r="U350" s="3">
        <v>715</v>
      </c>
      <c r="V350" s="4">
        <v>43643</v>
      </c>
      <c r="W350" s="3" t="s">
        <v>33</v>
      </c>
      <c r="X350" s="3" t="s">
        <v>1583</v>
      </c>
    </row>
    <row r="351" spans="1:24" ht="27.95" x14ac:dyDescent="0.3">
      <c r="A351" s="3">
        <v>345</v>
      </c>
      <c r="B351" s="3" t="str">
        <f>"1499288"</f>
        <v>1499288</v>
      </c>
      <c r="C351" s="3">
        <v>20059</v>
      </c>
      <c r="D351" s="3" t="s">
        <v>1584</v>
      </c>
      <c r="E351" s="3">
        <v>10019923067</v>
      </c>
      <c r="F351" s="3" t="s">
        <v>1585</v>
      </c>
      <c r="G351" s="3" t="s">
        <v>1586</v>
      </c>
      <c r="H351" s="3" t="s">
        <v>45</v>
      </c>
      <c r="I351" s="3" t="s">
        <v>179</v>
      </c>
      <c r="J351" s="3" t="s">
        <v>1587</v>
      </c>
      <c r="K351" s="3" t="s">
        <v>31</v>
      </c>
      <c r="L351" s="3" t="s">
        <v>269</v>
      </c>
      <c r="M351" s="3" t="s">
        <v>500</v>
      </c>
      <c r="N351" s="3"/>
      <c r="O351" s="3"/>
      <c r="P351" s="3"/>
      <c r="Q351" s="3"/>
      <c r="R351" s="3"/>
      <c r="S351" s="3"/>
      <c r="T351" s="3"/>
      <c r="U351" s="3">
        <v>440</v>
      </c>
      <c r="V351" s="4">
        <v>40780</v>
      </c>
      <c r="W351" s="3" t="s">
        <v>33</v>
      </c>
      <c r="X351" s="3" t="s">
        <v>1585</v>
      </c>
    </row>
    <row r="352" spans="1:24" ht="27.95" x14ac:dyDescent="0.3">
      <c r="A352" s="3">
        <v>346</v>
      </c>
      <c r="B352" s="3" t="str">
        <f>"201800101353"</f>
        <v>201800101353</v>
      </c>
      <c r="C352" s="3">
        <v>137018</v>
      </c>
      <c r="D352" s="3" t="s">
        <v>1588</v>
      </c>
      <c r="E352" s="3">
        <v>10403578431</v>
      </c>
      <c r="F352" s="3" t="s">
        <v>1589</v>
      </c>
      <c r="G352" s="3" t="s">
        <v>1590</v>
      </c>
      <c r="H352" s="3" t="s">
        <v>84</v>
      </c>
      <c r="I352" s="3" t="s">
        <v>92</v>
      </c>
      <c r="J352" s="3" t="s">
        <v>1477</v>
      </c>
      <c r="K352" s="3" t="s">
        <v>31</v>
      </c>
      <c r="L352" s="3" t="s">
        <v>94</v>
      </c>
      <c r="M352" s="3" t="s">
        <v>95</v>
      </c>
      <c r="N352" s="3"/>
      <c r="O352" s="3"/>
      <c r="P352" s="3"/>
      <c r="Q352" s="3"/>
      <c r="R352" s="3"/>
      <c r="S352" s="3"/>
      <c r="T352" s="3"/>
      <c r="U352" s="3">
        <v>715</v>
      </c>
      <c r="V352" s="4">
        <v>43276</v>
      </c>
      <c r="W352" s="3" t="s">
        <v>33</v>
      </c>
      <c r="X352" s="3" t="s">
        <v>1589</v>
      </c>
    </row>
    <row r="353" spans="1:24" ht="27.95" x14ac:dyDescent="0.3">
      <c r="A353" s="3">
        <v>347</v>
      </c>
      <c r="B353" s="3" t="str">
        <f>"1470074"</f>
        <v>1470074</v>
      </c>
      <c r="C353" s="3">
        <v>43214</v>
      </c>
      <c r="D353" s="3" t="s">
        <v>1591</v>
      </c>
      <c r="E353" s="3">
        <v>10411158255</v>
      </c>
      <c r="F353" s="3" t="s">
        <v>1592</v>
      </c>
      <c r="G353" s="3" t="s">
        <v>1593</v>
      </c>
      <c r="H353" s="3" t="s">
        <v>84</v>
      </c>
      <c r="I353" s="3" t="s">
        <v>85</v>
      </c>
      <c r="J353" s="3" t="s">
        <v>422</v>
      </c>
      <c r="K353" s="3" t="s">
        <v>31</v>
      </c>
      <c r="L353" s="3" t="s">
        <v>324</v>
      </c>
      <c r="M353" s="3"/>
      <c r="N353" s="3" t="s">
        <v>1420</v>
      </c>
      <c r="O353" s="3"/>
      <c r="P353" s="3"/>
      <c r="Q353" s="3"/>
      <c r="R353" s="3"/>
      <c r="S353" s="3"/>
      <c r="T353" s="3" t="s">
        <v>1594</v>
      </c>
      <c r="U353" s="3">
        <v>741</v>
      </c>
      <c r="V353" s="4">
        <v>40605</v>
      </c>
      <c r="W353" s="3" t="s">
        <v>33</v>
      </c>
      <c r="X353" s="3" t="s">
        <v>1592</v>
      </c>
    </row>
    <row r="354" spans="1:24" ht="27.95" x14ac:dyDescent="0.3">
      <c r="A354" s="3">
        <v>348</v>
      </c>
      <c r="B354" s="3" t="str">
        <f>"201300045430"</f>
        <v>201300045430</v>
      </c>
      <c r="C354" s="3">
        <v>21027</v>
      </c>
      <c r="D354" s="3" t="s">
        <v>1595</v>
      </c>
      <c r="E354" s="3">
        <v>10420959082</v>
      </c>
      <c r="F354" s="3" t="s">
        <v>1596</v>
      </c>
      <c r="G354" s="3" t="s">
        <v>1597</v>
      </c>
      <c r="H354" s="3" t="s">
        <v>45</v>
      </c>
      <c r="I354" s="3" t="s">
        <v>668</v>
      </c>
      <c r="J354" s="3" t="s">
        <v>1055</v>
      </c>
      <c r="K354" s="3" t="s">
        <v>31</v>
      </c>
      <c r="L354" s="3" t="s">
        <v>182</v>
      </c>
      <c r="M354" s="3" t="s">
        <v>181</v>
      </c>
      <c r="N354" s="3"/>
      <c r="O354" s="3"/>
      <c r="P354" s="3"/>
      <c r="Q354" s="3"/>
      <c r="R354" s="3"/>
      <c r="S354" s="3"/>
      <c r="T354" s="3"/>
      <c r="U354" s="3">
        <v>330</v>
      </c>
      <c r="V354" s="4">
        <v>41336</v>
      </c>
      <c r="W354" s="3" t="s">
        <v>33</v>
      </c>
      <c r="X354" s="3" t="s">
        <v>1598</v>
      </c>
    </row>
    <row r="355" spans="1:24" ht="27.95" x14ac:dyDescent="0.3">
      <c r="A355" s="3">
        <v>349</v>
      </c>
      <c r="B355" s="3" t="str">
        <f>"201800030000"</f>
        <v>201800030000</v>
      </c>
      <c r="C355" s="3">
        <v>134656</v>
      </c>
      <c r="D355" s="3" t="s">
        <v>1599</v>
      </c>
      <c r="E355" s="3">
        <v>10480462764</v>
      </c>
      <c r="F355" s="3" t="s">
        <v>1600</v>
      </c>
      <c r="G355" s="3" t="s">
        <v>1601</v>
      </c>
      <c r="H355" s="3" t="s">
        <v>28</v>
      </c>
      <c r="I355" s="3" t="s">
        <v>1203</v>
      </c>
      <c r="J355" s="3" t="s">
        <v>1602</v>
      </c>
      <c r="K355" s="3" t="s">
        <v>31</v>
      </c>
      <c r="L355" s="3" t="s">
        <v>347</v>
      </c>
      <c r="M355" s="3"/>
      <c r="N355" s="3"/>
      <c r="O355" s="3"/>
      <c r="P355" s="3"/>
      <c r="Q355" s="3"/>
      <c r="R355" s="3"/>
      <c r="S355" s="3"/>
      <c r="T355" s="3"/>
      <c r="U355" s="3">
        <v>715</v>
      </c>
      <c r="V355" s="4">
        <v>43152</v>
      </c>
      <c r="W355" s="3" t="s">
        <v>33</v>
      </c>
      <c r="X355" s="3" t="s">
        <v>1600</v>
      </c>
    </row>
    <row r="356" spans="1:24" ht="27.95" x14ac:dyDescent="0.3">
      <c r="A356" s="3">
        <v>350</v>
      </c>
      <c r="B356" s="3" t="str">
        <f>"1291107"</f>
        <v>1291107</v>
      </c>
      <c r="C356" s="3">
        <v>19837</v>
      </c>
      <c r="D356" s="3" t="s">
        <v>1603</v>
      </c>
      <c r="E356" s="3">
        <v>10336746600</v>
      </c>
      <c r="F356" s="3" t="s">
        <v>1604</v>
      </c>
      <c r="G356" s="3" t="s">
        <v>1605</v>
      </c>
      <c r="H356" s="3" t="s">
        <v>225</v>
      </c>
      <c r="I356" s="3" t="s">
        <v>226</v>
      </c>
      <c r="J356" s="3" t="s">
        <v>1606</v>
      </c>
      <c r="K356" s="3" t="s">
        <v>31</v>
      </c>
      <c r="L356" s="3" t="s">
        <v>139</v>
      </c>
      <c r="M356" s="3" t="s">
        <v>164</v>
      </c>
      <c r="N356" s="3" t="s">
        <v>50</v>
      </c>
      <c r="O356" s="3"/>
      <c r="P356" s="3"/>
      <c r="Q356" s="3"/>
      <c r="R356" s="3"/>
      <c r="S356" s="3"/>
      <c r="T356" s="3"/>
      <c r="U356" s="3">
        <v>1100</v>
      </c>
      <c r="V356" s="4">
        <v>36718</v>
      </c>
      <c r="W356" s="3" t="s">
        <v>33</v>
      </c>
      <c r="X356" s="3" t="s">
        <v>1607</v>
      </c>
    </row>
    <row r="357" spans="1:24" ht="27.95" x14ac:dyDescent="0.3">
      <c r="A357" s="3">
        <v>351</v>
      </c>
      <c r="B357" s="3" t="str">
        <f>"1565449"</f>
        <v>1565449</v>
      </c>
      <c r="C357" s="3">
        <v>41485</v>
      </c>
      <c r="D357" s="3" t="s">
        <v>1608</v>
      </c>
      <c r="E357" s="3">
        <v>10020341187</v>
      </c>
      <c r="F357" s="3" t="s">
        <v>1609</v>
      </c>
      <c r="G357" s="3" t="s">
        <v>1610</v>
      </c>
      <c r="H357" s="3" t="s">
        <v>45</v>
      </c>
      <c r="I357" s="3" t="s">
        <v>668</v>
      </c>
      <c r="J357" s="3" t="s">
        <v>669</v>
      </c>
      <c r="K357" s="3" t="s">
        <v>31</v>
      </c>
      <c r="L357" s="3" t="s">
        <v>50</v>
      </c>
      <c r="M357" s="3" t="s">
        <v>107</v>
      </c>
      <c r="N357" s="3" t="s">
        <v>733</v>
      </c>
      <c r="O357" s="3"/>
      <c r="P357" s="3"/>
      <c r="Q357" s="3"/>
      <c r="R357" s="3"/>
      <c r="S357" s="3"/>
      <c r="T357" s="3"/>
      <c r="U357" s="3">
        <v>285</v>
      </c>
      <c r="V357" s="4">
        <v>38597</v>
      </c>
      <c r="W357" s="3" t="s">
        <v>33</v>
      </c>
      <c r="X357" s="3" t="s">
        <v>1611</v>
      </c>
    </row>
    <row r="358" spans="1:24" ht="27.95" x14ac:dyDescent="0.3">
      <c r="A358" s="3">
        <v>352</v>
      </c>
      <c r="B358" s="3" t="str">
        <f>"1421841"</f>
        <v>1421841</v>
      </c>
      <c r="C358" s="3">
        <v>20061</v>
      </c>
      <c r="D358" s="3" t="s">
        <v>1612</v>
      </c>
      <c r="E358" s="3">
        <v>10022696276</v>
      </c>
      <c r="F358" s="3" t="s">
        <v>1613</v>
      </c>
      <c r="G358" s="3" t="s">
        <v>1614</v>
      </c>
      <c r="H358" s="3" t="s">
        <v>45</v>
      </c>
      <c r="I358" s="3" t="s">
        <v>352</v>
      </c>
      <c r="J358" s="3" t="s">
        <v>353</v>
      </c>
      <c r="K358" s="3" t="s">
        <v>31</v>
      </c>
      <c r="L358" s="3" t="s">
        <v>48</v>
      </c>
      <c r="M358" s="3" t="s">
        <v>50</v>
      </c>
      <c r="N358" s="3" t="s">
        <v>49</v>
      </c>
      <c r="O358" s="3"/>
      <c r="P358" s="3"/>
      <c r="Q358" s="3"/>
      <c r="R358" s="3"/>
      <c r="S358" s="3"/>
      <c r="T358" s="3"/>
      <c r="U358" s="3">
        <v>440</v>
      </c>
      <c r="V358" s="4">
        <v>38097</v>
      </c>
      <c r="W358" s="3" t="s">
        <v>33</v>
      </c>
      <c r="X358" s="3" t="s">
        <v>1615</v>
      </c>
    </row>
    <row r="359" spans="1:24" ht="27.95" x14ac:dyDescent="0.3">
      <c r="A359" s="3">
        <v>353</v>
      </c>
      <c r="B359" s="3" t="str">
        <f>"201800173480"</f>
        <v>201800173480</v>
      </c>
      <c r="C359" s="3">
        <v>139176</v>
      </c>
      <c r="D359" s="3" t="s">
        <v>1616</v>
      </c>
      <c r="E359" s="3">
        <v>10469056347</v>
      </c>
      <c r="F359" s="3" t="s">
        <v>1617</v>
      </c>
      <c r="G359" s="3" t="s">
        <v>1618</v>
      </c>
      <c r="H359" s="3" t="s">
        <v>73</v>
      </c>
      <c r="I359" s="3" t="s">
        <v>642</v>
      </c>
      <c r="J359" s="3" t="s">
        <v>1619</v>
      </c>
      <c r="K359" s="3" t="s">
        <v>31</v>
      </c>
      <c r="L359" s="3" t="s">
        <v>57</v>
      </c>
      <c r="M359" s="3"/>
      <c r="N359" s="3"/>
      <c r="O359" s="3"/>
      <c r="P359" s="3"/>
      <c r="Q359" s="3"/>
      <c r="R359" s="3"/>
      <c r="S359" s="3"/>
      <c r="T359" s="3"/>
      <c r="U359" s="3">
        <v>715</v>
      </c>
      <c r="V359" s="4">
        <v>43396</v>
      </c>
      <c r="W359" s="3" t="s">
        <v>33</v>
      </c>
      <c r="X359" s="3" t="s">
        <v>1617</v>
      </c>
    </row>
    <row r="360" spans="1:24" ht="27.95" x14ac:dyDescent="0.3">
      <c r="A360" s="3">
        <v>354</v>
      </c>
      <c r="B360" s="3" t="str">
        <f>"1421840"</f>
        <v>1421840</v>
      </c>
      <c r="C360" s="3">
        <v>86018</v>
      </c>
      <c r="D360" s="3" t="s">
        <v>1620</v>
      </c>
      <c r="E360" s="3">
        <v>10025261700</v>
      </c>
      <c r="F360" s="3" t="s">
        <v>1621</v>
      </c>
      <c r="G360" s="3" t="s">
        <v>1622</v>
      </c>
      <c r="H360" s="3" t="s">
        <v>45</v>
      </c>
      <c r="I360" s="3" t="s">
        <v>668</v>
      </c>
      <c r="J360" s="3" t="s">
        <v>669</v>
      </c>
      <c r="K360" s="3" t="s">
        <v>31</v>
      </c>
      <c r="L360" s="3" t="s">
        <v>48</v>
      </c>
      <c r="M360" s="3" t="s">
        <v>50</v>
      </c>
      <c r="N360" s="3" t="s">
        <v>49</v>
      </c>
      <c r="O360" s="3"/>
      <c r="P360" s="3"/>
      <c r="Q360" s="3"/>
      <c r="R360" s="3"/>
      <c r="S360" s="3"/>
      <c r="T360" s="3"/>
      <c r="U360" s="3">
        <v>440</v>
      </c>
      <c r="V360" s="4">
        <v>37776</v>
      </c>
      <c r="W360" s="3" t="s">
        <v>33</v>
      </c>
      <c r="X360" s="3" t="s">
        <v>1623</v>
      </c>
    </row>
    <row r="361" spans="1:24" ht="27.95" x14ac:dyDescent="0.3">
      <c r="A361" s="3">
        <v>355</v>
      </c>
      <c r="B361" s="3" t="str">
        <f>"202000122226"</f>
        <v>202000122226</v>
      </c>
      <c r="C361" s="3">
        <v>151353</v>
      </c>
      <c r="D361" s="3" t="s">
        <v>1624</v>
      </c>
      <c r="E361" s="3">
        <v>10702684256</v>
      </c>
      <c r="F361" s="3" t="s">
        <v>1625</v>
      </c>
      <c r="G361" s="3" t="s">
        <v>1626</v>
      </c>
      <c r="H361" s="3" t="s">
        <v>61</v>
      </c>
      <c r="I361" s="3" t="s">
        <v>1627</v>
      </c>
      <c r="J361" s="3" t="s">
        <v>1628</v>
      </c>
      <c r="K361" s="3" t="s">
        <v>31</v>
      </c>
      <c r="L361" s="3" t="s">
        <v>236</v>
      </c>
      <c r="M361" s="3" t="s">
        <v>644</v>
      </c>
      <c r="N361" s="3"/>
      <c r="O361" s="3"/>
      <c r="P361" s="3"/>
      <c r="Q361" s="3"/>
      <c r="R361" s="3"/>
      <c r="S361" s="3"/>
      <c r="T361" s="3"/>
      <c r="U361" s="3">
        <v>715</v>
      </c>
      <c r="V361" s="4">
        <v>44097</v>
      </c>
      <c r="W361" s="3" t="s">
        <v>33</v>
      </c>
      <c r="X361" s="3" t="s">
        <v>1625</v>
      </c>
    </row>
    <row r="362" spans="1:24" ht="27.95" x14ac:dyDescent="0.3">
      <c r="A362" s="3">
        <v>356</v>
      </c>
      <c r="B362" s="3" t="str">
        <f>"1484233"</f>
        <v>1484233</v>
      </c>
      <c r="C362" s="3">
        <v>92383</v>
      </c>
      <c r="D362" s="3" t="s">
        <v>1629</v>
      </c>
      <c r="E362" s="3">
        <v>20487613054</v>
      </c>
      <c r="F362" s="3" t="s">
        <v>1630</v>
      </c>
      <c r="G362" s="3" t="s">
        <v>1631</v>
      </c>
      <c r="H362" s="3" t="s">
        <v>225</v>
      </c>
      <c r="I362" s="3" t="s">
        <v>866</v>
      </c>
      <c r="J362" s="3" t="s">
        <v>1632</v>
      </c>
      <c r="K362" s="3" t="s">
        <v>31</v>
      </c>
      <c r="L362" s="3" t="s">
        <v>819</v>
      </c>
      <c r="M362" s="3"/>
      <c r="N362" s="3"/>
      <c r="O362" s="3" t="s">
        <v>1633</v>
      </c>
      <c r="P362" s="3"/>
      <c r="Q362" s="3"/>
      <c r="R362" s="3"/>
      <c r="S362" s="3"/>
      <c r="T362" s="3"/>
      <c r="U362" s="3">
        <v>285</v>
      </c>
      <c r="V362" s="4">
        <v>40682</v>
      </c>
      <c r="W362" s="3" t="s">
        <v>33</v>
      </c>
      <c r="X362" s="3" t="s">
        <v>1634</v>
      </c>
    </row>
    <row r="363" spans="1:24" ht="27.95" x14ac:dyDescent="0.3">
      <c r="A363" s="3">
        <v>357</v>
      </c>
      <c r="B363" s="3" t="str">
        <f>"201800134258"</f>
        <v>201800134258</v>
      </c>
      <c r="C363" s="3">
        <v>138013</v>
      </c>
      <c r="D363" s="3" t="s">
        <v>1635</v>
      </c>
      <c r="E363" s="3">
        <v>10700811129</v>
      </c>
      <c r="F363" s="3" t="s">
        <v>1636</v>
      </c>
      <c r="G363" s="3" t="s">
        <v>1637</v>
      </c>
      <c r="H363" s="3" t="s">
        <v>233</v>
      </c>
      <c r="I363" s="3" t="s">
        <v>234</v>
      </c>
      <c r="J363" s="3" t="s">
        <v>1638</v>
      </c>
      <c r="K363" s="3" t="s">
        <v>31</v>
      </c>
      <c r="L363" s="3" t="s">
        <v>94</v>
      </c>
      <c r="M363" s="3" t="s">
        <v>95</v>
      </c>
      <c r="N363" s="3"/>
      <c r="O363" s="3"/>
      <c r="P363" s="3"/>
      <c r="Q363" s="3"/>
      <c r="R363" s="3"/>
      <c r="S363" s="3"/>
      <c r="T363" s="3"/>
      <c r="U363" s="3">
        <v>715</v>
      </c>
      <c r="V363" s="4">
        <v>43326</v>
      </c>
      <c r="W363" s="3" t="s">
        <v>33</v>
      </c>
      <c r="X363" s="3" t="s">
        <v>1636</v>
      </c>
    </row>
    <row r="364" spans="1:24" ht="27.95" x14ac:dyDescent="0.3">
      <c r="A364" s="3">
        <v>358</v>
      </c>
      <c r="B364" s="3" t="str">
        <f>"201300049408"</f>
        <v>201300049408</v>
      </c>
      <c r="C364" s="3">
        <v>35198</v>
      </c>
      <c r="D364" s="3" t="s">
        <v>1639</v>
      </c>
      <c r="E364" s="3">
        <v>10468015191</v>
      </c>
      <c r="F364" s="3" t="s">
        <v>1640</v>
      </c>
      <c r="G364" s="3" t="s">
        <v>1641</v>
      </c>
      <c r="H364" s="3" t="s">
        <v>45</v>
      </c>
      <c r="I364" s="3" t="s">
        <v>668</v>
      </c>
      <c r="J364" s="3" t="s">
        <v>1055</v>
      </c>
      <c r="K364" s="3" t="s">
        <v>31</v>
      </c>
      <c r="L364" s="3" t="s">
        <v>182</v>
      </c>
      <c r="M364" s="3" t="s">
        <v>181</v>
      </c>
      <c r="N364" s="3"/>
      <c r="O364" s="3"/>
      <c r="P364" s="3"/>
      <c r="Q364" s="3"/>
      <c r="R364" s="3"/>
      <c r="S364" s="3"/>
      <c r="T364" s="3"/>
      <c r="U364" s="3">
        <v>330</v>
      </c>
      <c r="V364" s="4">
        <v>41347</v>
      </c>
      <c r="W364" s="3" t="s">
        <v>33</v>
      </c>
      <c r="X364" s="3" t="s">
        <v>1640</v>
      </c>
    </row>
    <row r="365" spans="1:24" ht="27.95" x14ac:dyDescent="0.3">
      <c r="A365" s="3">
        <v>359</v>
      </c>
      <c r="B365" s="3" t="str">
        <f>"201300192453"</f>
        <v>201300192453</v>
      </c>
      <c r="C365" s="3">
        <v>106330</v>
      </c>
      <c r="D365" s="3" t="s">
        <v>1642</v>
      </c>
      <c r="E365" s="3">
        <v>10425782008</v>
      </c>
      <c r="F365" s="3" t="s">
        <v>1643</v>
      </c>
      <c r="G365" s="3" t="s">
        <v>1644</v>
      </c>
      <c r="H365" s="3" t="s">
        <v>92</v>
      </c>
      <c r="I365" s="3" t="s">
        <v>113</v>
      </c>
      <c r="J365" s="3" t="s">
        <v>1274</v>
      </c>
      <c r="K365" s="3" t="s">
        <v>31</v>
      </c>
      <c r="L365" s="3" t="s">
        <v>1645</v>
      </c>
      <c r="M365" s="3"/>
      <c r="N365" s="3"/>
      <c r="O365" s="3"/>
      <c r="P365" s="3"/>
      <c r="Q365" s="3"/>
      <c r="R365" s="3"/>
      <c r="S365" s="3"/>
      <c r="T365" s="3"/>
      <c r="U365" s="3">
        <v>330</v>
      </c>
      <c r="V365" s="4">
        <v>41641</v>
      </c>
      <c r="W365" s="3" t="s">
        <v>33</v>
      </c>
      <c r="X365" s="3" t="s">
        <v>1646</v>
      </c>
    </row>
    <row r="366" spans="1:24" ht="27.95" x14ac:dyDescent="0.3">
      <c r="A366" s="3">
        <v>360</v>
      </c>
      <c r="B366" s="3" t="str">
        <f>"201800100586"</f>
        <v>201800100586</v>
      </c>
      <c r="C366" s="3">
        <v>136976</v>
      </c>
      <c r="D366" s="3" t="s">
        <v>1647</v>
      </c>
      <c r="E366" s="3">
        <v>10465803792</v>
      </c>
      <c r="F366" s="3" t="s">
        <v>1648</v>
      </c>
      <c r="G366" s="3" t="s">
        <v>531</v>
      </c>
      <c r="H366" s="3" t="s">
        <v>514</v>
      </c>
      <c r="I366" s="3" t="s">
        <v>532</v>
      </c>
      <c r="J366" s="3" t="s">
        <v>533</v>
      </c>
      <c r="K366" s="3" t="s">
        <v>31</v>
      </c>
      <c r="L366" s="3" t="s">
        <v>57</v>
      </c>
      <c r="M366" s="3"/>
      <c r="N366" s="3"/>
      <c r="O366" s="3"/>
      <c r="P366" s="3"/>
      <c r="Q366" s="3"/>
      <c r="R366" s="3"/>
      <c r="S366" s="3"/>
      <c r="T366" s="3"/>
      <c r="U366" s="3">
        <v>715</v>
      </c>
      <c r="V366" s="4">
        <v>43269</v>
      </c>
      <c r="W366" s="3" t="s">
        <v>33</v>
      </c>
      <c r="X366" s="3" t="s">
        <v>1648</v>
      </c>
    </row>
    <row r="367" spans="1:24" ht="27.95" x14ac:dyDescent="0.3">
      <c r="A367" s="3">
        <v>361</v>
      </c>
      <c r="B367" s="3" t="str">
        <f>"201300054989"</f>
        <v>201300054989</v>
      </c>
      <c r="C367" s="3">
        <v>18798</v>
      </c>
      <c r="D367" s="3" t="s">
        <v>1649</v>
      </c>
      <c r="E367" s="3">
        <v>10025571415</v>
      </c>
      <c r="F367" s="3" t="s">
        <v>1650</v>
      </c>
      <c r="G367" s="3" t="s">
        <v>1651</v>
      </c>
      <c r="H367" s="3" t="s">
        <v>45</v>
      </c>
      <c r="I367" s="3" t="s">
        <v>668</v>
      </c>
      <c r="J367" s="3" t="s">
        <v>669</v>
      </c>
      <c r="K367" s="3" t="s">
        <v>31</v>
      </c>
      <c r="L367" s="3" t="s">
        <v>182</v>
      </c>
      <c r="M367" s="3" t="s">
        <v>181</v>
      </c>
      <c r="N367" s="3"/>
      <c r="O367" s="3"/>
      <c r="P367" s="3"/>
      <c r="Q367" s="3"/>
      <c r="R367" s="3"/>
      <c r="S367" s="3"/>
      <c r="T367" s="3"/>
      <c r="U367" s="3">
        <v>330</v>
      </c>
      <c r="V367" s="4">
        <v>41357</v>
      </c>
      <c r="W367" s="3" t="s">
        <v>33</v>
      </c>
      <c r="X367" s="3" t="s">
        <v>1650</v>
      </c>
    </row>
    <row r="368" spans="1:24" ht="27.95" x14ac:dyDescent="0.3">
      <c r="A368" s="3">
        <v>362</v>
      </c>
      <c r="B368" s="3" t="str">
        <f>"201600125092"</f>
        <v>201600125092</v>
      </c>
      <c r="C368" s="3">
        <v>123569</v>
      </c>
      <c r="D368" s="3" t="s">
        <v>1652</v>
      </c>
      <c r="E368" s="3">
        <v>10010815482</v>
      </c>
      <c r="F368" s="3" t="s">
        <v>1653</v>
      </c>
      <c r="G368" s="3" t="s">
        <v>1654</v>
      </c>
      <c r="H368" s="3" t="s">
        <v>233</v>
      </c>
      <c r="I368" s="3" t="s">
        <v>262</v>
      </c>
      <c r="J368" s="3" t="s">
        <v>1556</v>
      </c>
      <c r="K368" s="3" t="s">
        <v>31</v>
      </c>
      <c r="L368" s="3" t="s">
        <v>506</v>
      </c>
      <c r="M368" s="3"/>
      <c r="N368" s="3"/>
      <c r="O368" s="3"/>
      <c r="P368" s="3"/>
      <c r="Q368" s="3"/>
      <c r="R368" s="3"/>
      <c r="S368" s="3"/>
      <c r="T368" s="3"/>
      <c r="U368" s="3">
        <v>330</v>
      </c>
      <c r="V368" s="4">
        <v>42619</v>
      </c>
      <c r="W368" s="3" t="s">
        <v>33</v>
      </c>
      <c r="X368" s="3" t="s">
        <v>1653</v>
      </c>
    </row>
    <row r="369" spans="1:24" ht="27.95" x14ac:dyDescent="0.3">
      <c r="A369" s="3">
        <v>363</v>
      </c>
      <c r="B369" s="3" t="str">
        <f>"201200012796"</f>
        <v>201200012796</v>
      </c>
      <c r="C369" s="3">
        <v>95267</v>
      </c>
      <c r="D369" s="3" t="s">
        <v>1655</v>
      </c>
      <c r="E369" s="3">
        <v>10333208003</v>
      </c>
      <c r="F369" s="3" t="s">
        <v>1656</v>
      </c>
      <c r="G369" s="3" t="s">
        <v>1657</v>
      </c>
      <c r="H369" s="3" t="s">
        <v>514</v>
      </c>
      <c r="I369" s="3" t="s">
        <v>515</v>
      </c>
      <c r="J369" s="3" t="s">
        <v>515</v>
      </c>
      <c r="K369" s="3" t="s">
        <v>31</v>
      </c>
      <c r="L369" s="3" t="s">
        <v>39</v>
      </c>
      <c r="M369" s="3" t="s">
        <v>41</v>
      </c>
      <c r="N369" s="3"/>
      <c r="O369" s="3"/>
      <c r="P369" s="3"/>
      <c r="Q369" s="3"/>
      <c r="R369" s="3"/>
      <c r="S369" s="3"/>
      <c r="T369" s="3"/>
      <c r="U369" s="3">
        <v>285</v>
      </c>
      <c r="V369" s="4">
        <v>40938</v>
      </c>
      <c r="W369" s="3" t="s">
        <v>33</v>
      </c>
      <c r="X369" s="3" t="s">
        <v>1656</v>
      </c>
    </row>
    <row r="370" spans="1:24" ht="27.95" x14ac:dyDescent="0.3">
      <c r="A370" s="3">
        <v>364</v>
      </c>
      <c r="B370" s="3" t="str">
        <f>"201800065024"</f>
        <v>201800065024</v>
      </c>
      <c r="C370" s="3">
        <v>135749</v>
      </c>
      <c r="D370" s="3" t="s">
        <v>1658</v>
      </c>
      <c r="E370" s="3">
        <v>20600886861</v>
      </c>
      <c r="F370" s="3" t="s">
        <v>1659</v>
      </c>
      <c r="G370" s="3" t="s">
        <v>1660</v>
      </c>
      <c r="H370" s="3" t="s">
        <v>73</v>
      </c>
      <c r="I370" s="3" t="s">
        <v>674</v>
      </c>
      <c r="J370" s="3" t="s">
        <v>688</v>
      </c>
      <c r="K370" s="3" t="s">
        <v>31</v>
      </c>
      <c r="L370" s="3" t="s">
        <v>739</v>
      </c>
      <c r="M370" s="3"/>
      <c r="N370" s="3"/>
      <c r="O370" s="3"/>
      <c r="P370" s="3"/>
      <c r="Q370" s="3"/>
      <c r="R370" s="3"/>
      <c r="S370" s="3"/>
      <c r="T370" s="3"/>
      <c r="U370" s="3">
        <v>715</v>
      </c>
      <c r="V370" s="4">
        <v>43217</v>
      </c>
      <c r="W370" s="3" t="s">
        <v>33</v>
      </c>
      <c r="X370" s="3" t="s">
        <v>1661</v>
      </c>
    </row>
    <row r="371" spans="1:24" ht="27.95" x14ac:dyDescent="0.3">
      <c r="A371" s="3">
        <v>365</v>
      </c>
      <c r="B371" s="3" t="str">
        <f>"201300147957"</f>
        <v>201300147957</v>
      </c>
      <c r="C371" s="3">
        <v>105273</v>
      </c>
      <c r="D371" s="3" t="s">
        <v>1662</v>
      </c>
      <c r="E371" s="3">
        <v>10413932608</v>
      </c>
      <c r="F371" s="3" t="s">
        <v>1663</v>
      </c>
      <c r="G371" s="3" t="s">
        <v>1664</v>
      </c>
      <c r="H371" s="3" t="s">
        <v>194</v>
      </c>
      <c r="I371" s="3" t="s">
        <v>813</v>
      </c>
      <c r="J371" s="3" t="s">
        <v>813</v>
      </c>
      <c r="K371" s="3" t="s">
        <v>31</v>
      </c>
      <c r="L371" s="3" t="s">
        <v>1665</v>
      </c>
      <c r="M371" s="3"/>
      <c r="N371" s="3"/>
      <c r="O371" s="3"/>
      <c r="P371" s="3"/>
      <c r="Q371" s="3"/>
      <c r="R371" s="3"/>
      <c r="S371" s="3"/>
      <c r="T371" s="3"/>
      <c r="U371" s="3">
        <v>330</v>
      </c>
      <c r="V371" s="4">
        <v>41545</v>
      </c>
      <c r="W371" s="3" t="s">
        <v>33</v>
      </c>
      <c r="X371" s="3" t="s">
        <v>1663</v>
      </c>
    </row>
    <row r="372" spans="1:24" ht="27.95" x14ac:dyDescent="0.3">
      <c r="A372" s="3">
        <v>366</v>
      </c>
      <c r="B372" s="3" t="str">
        <f>"201900012108"</f>
        <v>201900012108</v>
      </c>
      <c r="C372" s="3">
        <v>140447</v>
      </c>
      <c r="D372" s="3" t="s">
        <v>1666</v>
      </c>
      <c r="E372" s="3">
        <v>10428569054</v>
      </c>
      <c r="F372" s="3" t="s">
        <v>1667</v>
      </c>
      <c r="G372" s="3" t="s">
        <v>1668</v>
      </c>
      <c r="H372" s="3" t="s">
        <v>225</v>
      </c>
      <c r="I372" s="3" t="s">
        <v>866</v>
      </c>
      <c r="J372" s="3" t="s">
        <v>1669</v>
      </c>
      <c r="K372" s="3" t="s">
        <v>31</v>
      </c>
      <c r="L372" s="3" t="s">
        <v>854</v>
      </c>
      <c r="M372" s="3"/>
      <c r="N372" s="3"/>
      <c r="O372" s="3"/>
      <c r="P372" s="3"/>
      <c r="Q372" s="3"/>
      <c r="R372" s="3"/>
      <c r="S372" s="3"/>
      <c r="T372" s="3"/>
      <c r="U372" s="3">
        <v>715</v>
      </c>
      <c r="V372" s="4">
        <v>43497</v>
      </c>
      <c r="W372" s="3" t="s">
        <v>33</v>
      </c>
      <c r="X372" s="3" t="s">
        <v>1667</v>
      </c>
    </row>
    <row r="373" spans="1:24" ht="27.95" x14ac:dyDescent="0.3">
      <c r="A373" s="3">
        <v>367</v>
      </c>
      <c r="B373" s="3" t="str">
        <f>"1302496"</f>
        <v>1302496</v>
      </c>
      <c r="C373" s="3">
        <v>20075</v>
      </c>
      <c r="D373" s="3" t="s">
        <v>1670</v>
      </c>
      <c r="E373" s="3">
        <v>10024339900</v>
      </c>
      <c r="F373" s="3" t="s">
        <v>1671</v>
      </c>
      <c r="G373" s="3" t="s">
        <v>1672</v>
      </c>
      <c r="H373" s="3" t="s">
        <v>45</v>
      </c>
      <c r="I373" s="3" t="s">
        <v>668</v>
      </c>
      <c r="J373" s="3" t="s">
        <v>669</v>
      </c>
      <c r="K373" s="3" t="s">
        <v>31</v>
      </c>
      <c r="L373" s="3" t="s">
        <v>50</v>
      </c>
      <c r="M373" s="3" t="s">
        <v>49</v>
      </c>
      <c r="N373" s="3" t="s">
        <v>48</v>
      </c>
      <c r="O373" s="3"/>
      <c r="P373" s="3"/>
      <c r="Q373" s="3"/>
      <c r="R373" s="3"/>
      <c r="S373" s="3"/>
      <c r="T373" s="3"/>
      <c r="U373" s="3">
        <v>440</v>
      </c>
      <c r="V373" s="4">
        <v>36805</v>
      </c>
      <c r="W373" s="3" t="s">
        <v>33</v>
      </c>
      <c r="X373" s="3" t="s">
        <v>1673</v>
      </c>
    </row>
    <row r="374" spans="1:24" ht="27.95" x14ac:dyDescent="0.3">
      <c r="A374" s="3">
        <v>368</v>
      </c>
      <c r="B374" s="3" t="str">
        <f>"201800101361"</f>
        <v>201800101361</v>
      </c>
      <c r="C374" s="3">
        <v>137010</v>
      </c>
      <c r="D374" s="3" t="s">
        <v>1674</v>
      </c>
      <c r="E374" s="3">
        <v>20394006697</v>
      </c>
      <c r="F374" s="3" t="s">
        <v>1675</v>
      </c>
      <c r="G374" s="3" t="s">
        <v>1676</v>
      </c>
      <c r="H374" s="3" t="s">
        <v>84</v>
      </c>
      <c r="I374" s="3" t="s">
        <v>92</v>
      </c>
      <c r="J374" s="3" t="s">
        <v>1477</v>
      </c>
      <c r="K374" s="3" t="s">
        <v>31</v>
      </c>
      <c r="L374" s="3" t="s">
        <v>94</v>
      </c>
      <c r="M374" s="3" t="s">
        <v>95</v>
      </c>
      <c r="N374" s="3"/>
      <c r="O374" s="3"/>
      <c r="P374" s="3"/>
      <c r="Q374" s="3"/>
      <c r="R374" s="3"/>
      <c r="S374" s="3"/>
      <c r="T374" s="3"/>
      <c r="U374" s="3">
        <v>715</v>
      </c>
      <c r="V374" s="4">
        <v>43276</v>
      </c>
      <c r="W374" s="3" t="s">
        <v>33</v>
      </c>
      <c r="X374" s="3" t="s">
        <v>1677</v>
      </c>
    </row>
    <row r="375" spans="1:24" ht="41.95" x14ac:dyDescent="0.3">
      <c r="A375" s="3">
        <v>369</v>
      </c>
      <c r="B375" s="3" t="str">
        <f>"201200118866"</f>
        <v>201200118866</v>
      </c>
      <c r="C375" s="3">
        <v>96653</v>
      </c>
      <c r="D375" s="3" t="s">
        <v>1678</v>
      </c>
      <c r="E375" s="3">
        <v>10337917394</v>
      </c>
      <c r="F375" s="3" t="s">
        <v>1679</v>
      </c>
      <c r="G375" s="3" t="s">
        <v>1680</v>
      </c>
      <c r="H375" s="3" t="s">
        <v>225</v>
      </c>
      <c r="I375" s="3" t="s">
        <v>1174</v>
      </c>
      <c r="J375" s="3" t="s">
        <v>1174</v>
      </c>
      <c r="K375" s="3" t="s">
        <v>31</v>
      </c>
      <c r="L375" s="3" t="s">
        <v>228</v>
      </c>
      <c r="M375" s="3"/>
      <c r="N375" s="3"/>
      <c r="O375" s="3"/>
      <c r="P375" s="3"/>
      <c r="Q375" s="3"/>
      <c r="R375" s="3"/>
      <c r="S375" s="3"/>
      <c r="T375" s="3"/>
      <c r="U375" s="3">
        <v>330</v>
      </c>
      <c r="V375" s="4">
        <v>41063</v>
      </c>
      <c r="W375" s="3" t="s">
        <v>33</v>
      </c>
      <c r="X375" s="3" t="s">
        <v>1679</v>
      </c>
    </row>
    <row r="376" spans="1:24" ht="27.95" x14ac:dyDescent="0.3">
      <c r="A376" s="3">
        <v>370</v>
      </c>
      <c r="B376" s="3" t="str">
        <f>"202000102733"</f>
        <v>202000102733</v>
      </c>
      <c r="C376" s="3">
        <v>93827</v>
      </c>
      <c r="D376" s="3" t="s">
        <v>1681</v>
      </c>
      <c r="E376" s="3">
        <v>10249972733</v>
      </c>
      <c r="F376" s="3" t="s">
        <v>1682</v>
      </c>
      <c r="G376" s="3" t="s">
        <v>1683</v>
      </c>
      <c r="H376" s="3" t="s">
        <v>28</v>
      </c>
      <c r="I376" s="3" t="s">
        <v>29</v>
      </c>
      <c r="J376" s="3" t="s">
        <v>1684</v>
      </c>
      <c r="K376" s="3" t="s">
        <v>31</v>
      </c>
      <c r="L376" s="3" t="s">
        <v>80</v>
      </c>
      <c r="M376" s="3"/>
      <c r="N376" s="3"/>
      <c r="O376" s="3"/>
      <c r="P376" s="3"/>
      <c r="Q376" s="3"/>
      <c r="R376" s="3"/>
      <c r="S376" s="3"/>
      <c r="T376" s="3"/>
      <c r="U376" s="3">
        <v>330</v>
      </c>
      <c r="V376" s="4">
        <v>44055</v>
      </c>
      <c r="W376" s="4">
        <v>44420</v>
      </c>
      <c r="X376" s="3" t="s">
        <v>1682</v>
      </c>
    </row>
    <row r="377" spans="1:24" ht="27.95" x14ac:dyDescent="0.3">
      <c r="A377" s="3">
        <v>371</v>
      </c>
      <c r="B377" s="3" t="str">
        <f>"201700165594"</f>
        <v>201700165594</v>
      </c>
      <c r="C377" s="3">
        <v>121332</v>
      </c>
      <c r="D377" s="3" t="s">
        <v>1685</v>
      </c>
      <c r="E377" s="3">
        <v>10480094757</v>
      </c>
      <c r="F377" s="3" t="s">
        <v>1686</v>
      </c>
      <c r="G377" s="3" t="s">
        <v>1687</v>
      </c>
      <c r="H377" s="3" t="s">
        <v>73</v>
      </c>
      <c r="I377" s="3" t="s">
        <v>674</v>
      </c>
      <c r="J377" s="3" t="s">
        <v>675</v>
      </c>
      <c r="K377" s="3" t="s">
        <v>31</v>
      </c>
      <c r="L377" s="3"/>
      <c r="M377" s="3" t="s">
        <v>181</v>
      </c>
      <c r="N377" s="3" t="s">
        <v>39</v>
      </c>
      <c r="O377" s="3" t="s">
        <v>40</v>
      </c>
      <c r="P377" s="3"/>
      <c r="Q377" s="3"/>
      <c r="R377" s="3"/>
      <c r="S377" s="3"/>
      <c r="T377" s="3"/>
      <c r="U377" s="3">
        <v>330</v>
      </c>
      <c r="V377" s="4">
        <v>43027</v>
      </c>
      <c r="W377" s="3" t="s">
        <v>33</v>
      </c>
      <c r="X377" s="3" t="s">
        <v>1686</v>
      </c>
    </row>
    <row r="378" spans="1:24" ht="27.95" x14ac:dyDescent="0.3">
      <c r="A378" s="3">
        <v>372</v>
      </c>
      <c r="B378" s="3" t="str">
        <f>"201400006132"</f>
        <v>201400006132</v>
      </c>
      <c r="C378" s="3">
        <v>107551</v>
      </c>
      <c r="D378" s="3" t="s">
        <v>1688</v>
      </c>
      <c r="E378" s="3">
        <v>10231458404</v>
      </c>
      <c r="F378" s="3" t="s">
        <v>1689</v>
      </c>
      <c r="G378" s="3" t="s">
        <v>1690</v>
      </c>
      <c r="H378" s="3" t="s">
        <v>73</v>
      </c>
      <c r="I378" s="3" t="s">
        <v>416</v>
      </c>
      <c r="J378" s="3" t="s">
        <v>417</v>
      </c>
      <c r="K378" s="3" t="s">
        <v>31</v>
      </c>
      <c r="L378" s="3" t="s">
        <v>41</v>
      </c>
      <c r="M378" s="3" t="s">
        <v>65</v>
      </c>
      <c r="N378" s="3"/>
      <c r="O378" s="3"/>
      <c r="P378" s="3"/>
      <c r="Q378" s="3"/>
      <c r="R378" s="3"/>
      <c r="S378" s="3"/>
      <c r="T378" s="3"/>
      <c r="U378" s="3">
        <v>330</v>
      </c>
      <c r="V378" s="4">
        <v>41703</v>
      </c>
      <c r="W378" s="3" t="s">
        <v>33</v>
      </c>
      <c r="X378" s="3" t="s">
        <v>1689</v>
      </c>
    </row>
    <row r="379" spans="1:24" ht="41.95" x14ac:dyDescent="0.3">
      <c r="A379" s="3">
        <v>373</v>
      </c>
      <c r="B379" s="3" t="str">
        <f>"201700084712"</f>
        <v>201700084712</v>
      </c>
      <c r="C379" s="3">
        <v>129035</v>
      </c>
      <c r="D379" s="3" t="s">
        <v>1691</v>
      </c>
      <c r="E379" s="3">
        <v>10476589997</v>
      </c>
      <c r="F379" s="3" t="s">
        <v>206</v>
      </c>
      <c r="G379" s="3" t="s">
        <v>1692</v>
      </c>
      <c r="H379" s="3" t="s">
        <v>194</v>
      </c>
      <c r="I379" s="3" t="s">
        <v>706</v>
      </c>
      <c r="J379" s="3" t="s">
        <v>706</v>
      </c>
      <c r="K379" s="3" t="s">
        <v>31</v>
      </c>
      <c r="L379" s="3" t="s">
        <v>806</v>
      </c>
      <c r="M379" s="3"/>
      <c r="N379" s="3"/>
      <c r="O379" s="3"/>
      <c r="P379" s="3"/>
      <c r="Q379" s="3"/>
      <c r="R379" s="3"/>
      <c r="S379" s="3"/>
      <c r="T379" s="3"/>
      <c r="U379" s="3">
        <v>330</v>
      </c>
      <c r="V379" s="4">
        <v>42905</v>
      </c>
      <c r="W379" s="3" t="s">
        <v>33</v>
      </c>
      <c r="X379" s="3" t="s">
        <v>206</v>
      </c>
    </row>
    <row r="380" spans="1:24" ht="27.95" x14ac:dyDescent="0.3">
      <c r="A380" s="3">
        <v>374</v>
      </c>
      <c r="B380" s="3" t="str">
        <f>"201800026077"</f>
        <v>201800026077</v>
      </c>
      <c r="C380" s="3">
        <v>115896</v>
      </c>
      <c r="D380" s="3" t="s">
        <v>1693</v>
      </c>
      <c r="E380" s="3">
        <v>10016841132</v>
      </c>
      <c r="F380" s="3" t="s">
        <v>1694</v>
      </c>
      <c r="G380" s="3" t="s">
        <v>1695</v>
      </c>
      <c r="H380" s="3" t="s">
        <v>45</v>
      </c>
      <c r="I380" s="3" t="s">
        <v>119</v>
      </c>
      <c r="J380" s="3" t="s">
        <v>1454</v>
      </c>
      <c r="K380" s="3" t="s">
        <v>31</v>
      </c>
      <c r="L380" s="3" t="s">
        <v>1435</v>
      </c>
      <c r="M380" s="3" t="s">
        <v>1696</v>
      </c>
      <c r="N380" s="3"/>
      <c r="O380" s="3"/>
      <c r="P380" s="3"/>
      <c r="Q380" s="3"/>
      <c r="R380" s="3"/>
      <c r="S380" s="3"/>
      <c r="T380" s="3"/>
      <c r="U380" s="3">
        <v>715</v>
      </c>
      <c r="V380" s="4">
        <v>43158</v>
      </c>
      <c r="W380" s="3" t="s">
        <v>33</v>
      </c>
      <c r="X380" s="3" t="s">
        <v>1694</v>
      </c>
    </row>
    <row r="381" spans="1:24" ht="27.95" x14ac:dyDescent="0.3">
      <c r="A381" s="3">
        <v>375</v>
      </c>
      <c r="B381" s="3" t="str">
        <f>"201700065311"</f>
        <v>201700065311</v>
      </c>
      <c r="C381" s="3">
        <v>127226</v>
      </c>
      <c r="D381" s="3" t="s">
        <v>1697</v>
      </c>
      <c r="E381" s="3">
        <v>20601765595</v>
      </c>
      <c r="F381" s="3" t="s">
        <v>1698</v>
      </c>
      <c r="G381" s="3" t="s">
        <v>1699</v>
      </c>
      <c r="H381" s="3" t="s">
        <v>61</v>
      </c>
      <c r="I381" s="3" t="s">
        <v>1700</v>
      </c>
      <c r="J381" s="3" t="s">
        <v>1701</v>
      </c>
      <c r="K381" s="3" t="s">
        <v>31</v>
      </c>
      <c r="L381" s="3" t="s">
        <v>65</v>
      </c>
      <c r="M381" s="3" t="s">
        <v>181</v>
      </c>
      <c r="N381" s="3"/>
      <c r="O381" s="3"/>
      <c r="P381" s="3"/>
      <c r="Q381" s="3"/>
      <c r="R381" s="3"/>
      <c r="S381" s="3"/>
      <c r="T381" s="3"/>
      <c r="U381" s="3">
        <v>330</v>
      </c>
      <c r="V381" s="4">
        <v>42852</v>
      </c>
      <c r="W381" s="3" t="s">
        <v>33</v>
      </c>
      <c r="X381" s="3" t="s">
        <v>1702</v>
      </c>
    </row>
    <row r="382" spans="1:24" ht="27.95" x14ac:dyDescent="0.3">
      <c r="A382" s="3">
        <v>376</v>
      </c>
      <c r="B382" s="3" t="str">
        <f>"201800026079"</f>
        <v>201800026079</v>
      </c>
      <c r="C382" s="3">
        <v>20040</v>
      </c>
      <c r="D382" s="3" t="s">
        <v>1703</v>
      </c>
      <c r="E382" s="3">
        <v>10017044902</v>
      </c>
      <c r="F382" s="3" t="s">
        <v>1704</v>
      </c>
      <c r="G382" s="3" t="s">
        <v>1705</v>
      </c>
      <c r="H382" s="3" t="s">
        <v>45</v>
      </c>
      <c r="I382" s="3" t="s">
        <v>119</v>
      </c>
      <c r="J382" s="3" t="s">
        <v>825</v>
      </c>
      <c r="K382" s="3" t="s">
        <v>31</v>
      </c>
      <c r="L382" s="3"/>
      <c r="M382" s="3"/>
      <c r="N382" s="3" t="s">
        <v>1149</v>
      </c>
      <c r="O382" s="3" t="s">
        <v>1148</v>
      </c>
      <c r="P382" s="3"/>
      <c r="Q382" s="3"/>
      <c r="R382" s="3"/>
      <c r="S382" s="3"/>
      <c r="T382" s="3"/>
      <c r="U382" s="3">
        <v>715</v>
      </c>
      <c r="V382" s="4">
        <v>43147</v>
      </c>
      <c r="W382" s="3" t="s">
        <v>33</v>
      </c>
      <c r="X382" s="3" t="s">
        <v>1704</v>
      </c>
    </row>
    <row r="383" spans="1:24" ht="27.95" x14ac:dyDescent="0.3">
      <c r="A383" s="3">
        <v>377</v>
      </c>
      <c r="B383" s="3" t="str">
        <f>"202000088156"</f>
        <v>202000088156</v>
      </c>
      <c r="C383" s="3">
        <v>139295</v>
      </c>
      <c r="D383" s="3" t="s">
        <v>1706</v>
      </c>
      <c r="E383" s="3">
        <v>10470861652</v>
      </c>
      <c r="F383" s="3" t="s">
        <v>1707</v>
      </c>
      <c r="G383" s="3" t="s">
        <v>1708</v>
      </c>
      <c r="H383" s="3" t="s">
        <v>28</v>
      </c>
      <c r="I383" s="3" t="s">
        <v>203</v>
      </c>
      <c r="J383" s="3" t="s">
        <v>1709</v>
      </c>
      <c r="K383" s="3" t="s">
        <v>31</v>
      </c>
      <c r="L383" s="3" t="s">
        <v>1710</v>
      </c>
      <c r="M383" s="3"/>
      <c r="N383" s="3"/>
      <c r="O383" s="3"/>
      <c r="P383" s="3"/>
      <c r="Q383" s="3"/>
      <c r="R383" s="3"/>
      <c r="S383" s="3"/>
      <c r="T383" s="3"/>
      <c r="U383" s="3">
        <v>660</v>
      </c>
      <c r="V383" s="4">
        <v>44034</v>
      </c>
      <c r="W383" s="3" t="s">
        <v>33</v>
      </c>
      <c r="X383" s="3" t="s">
        <v>1707</v>
      </c>
    </row>
    <row r="384" spans="1:24" ht="27.95" x14ac:dyDescent="0.3">
      <c r="A384" s="3">
        <v>378</v>
      </c>
      <c r="B384" s="3" t="str">
        <f>"201800066747"</f>
        <v>201800066747</v>
      </c>
      <c r="C384" s="3">
        <v>135721</v>
      </c>
      <c r="D384" s="3" t="s">
        <v>1711</v>
      </c>
      <c r="E384" s="3">
        <v>20602902871</v>
      </c>
      <c r="F384" s="3" t="s">
        <v>1712</v>
      </c>
      <c r="G384" s="3" t="s">
        <v>1713</v>
      </c>
      <c r="H384" s="3" t="s">
        <v>571</v>
      </c>
      <c r="I384" s="3" t="s">
        <v>571</v>
      </c>
      <c r="J384" s="3" t="s">
        <v>765</v>
      </c>
      <c r="K384" s="3" t="s">
        <v>31</v>
      </c>
      <c r="L384" s="3"/>
      <c r="M384" s="3" t="s">
        <v>39</v>
      </c>
      <c r="N384" s="3" t="s">
        <v>574</v>
      </c>
      <c r="O384" s="3" t="s">
        <v>40</v>
      </c>
      <c r="P384" s="3" t="s">
        <v>236</v>
      </c>
      <c r="Q384" s="3"/>
      <c r="R384" s="3"/>
      <c r="S384" s="3"/>
      <c r="T384" s="3"/>
      <c r="U384" s="3">
        <v>715</v>
      </c>
      <c r="V384" s="4">
        <v>43211</v>
      </c>
      <c r="W384" s="3" t="s">
        <v>33</v>
      </c>
      <c r="X384" s="3" t="s">
        <v>1714</v>
      </c>
    </row>
    <row r="385" spans="1:24" ht="27.95" x14ac:dyDescent="0.3">
      <c r="A385" s="3">
        <v>379</v>
      </c>
      <c r="B385" s="3" t="str">
        <f>"201800068719"</f>
        <v>201800068719</v>
      </c>
      <c r="C385" s="3">
        <v>85906</v>
      </c>
      <c r="D385" s="3" t="s">
        <v>1715</v>
      </c>
      <c r="E385" s="3">
        <v>10015499384</v>
      </c>
      <c r="F385" s="3" t="s">
        <v>1716</v>
      </c>
      <c r="G385" s="3" t="s">
        <v>1066</v>
      </c>
      <c r="H385" s="3" t="s">
        <v>45</v>
      </c>
      <c r="I385" s="3" t="s">
        <v>46</v>
      </c>
      <c r="J385" s="3" t="s">
        <v>339</v>
      </c>
      <c r="K385" s="3" t="s">
        <v>31</v>
      </c>
      <c r="L385" s="3"/>
      <c r="M385" s="3"/>
      <c r="N385" s="3"/>
      <c r="O385" s="3"/>
      <c r="P385" s="3" t="s">
        <v>826</v>
      </c>
      <c r="Q385" s="3" t="s">
        <v>236</v>
      </c>
      <c r="R385" s="3"/>
      <c r="S385" s="3"/>
      <c r="T385" s="3"/>
      <c r="U385" s="3">
        <v>715</v>
      </c>
      <c r="V385" s="4">
        <v>43245</v>
      </c>
      <c r="W385" s="3" t="s">
        <v>33</v>
      </c>
      <c r="X385" s="3" t="s">
        <v>1716</v>
      </c>
    </row>
    <row r="386" spans="1:24" ht="27.95" x14ac:dyDescent="0.3">
      <c r="A386" s="3">
        <v>380</v>
      </c>
      <c r="B386" s="3" t="str">
        <f>"202000109512"</f>
        <v>202000109512</v>
      </c>
      <c r="C386" s="3">
        <v>150743</v>
      </c>
      <c r="D386" s="3" t="s">
        <v>1717</v>
      </c>
      <c r="E386" s="3">
        <v>10465946291</v>
      </c>
      <c r="F386" s="3" t="s">
        <v>808</v>
      </c>
      <c r="G386" s="3" t="s">
        <v>1718</v>
      </c>
      <c r="H386" s="3" t="s">
        <v>92</v>
      </c>
      <c r="I386" s="3" t="s">
        <v>655</v>
      </c>
      <c r="J386" s="3" t="s">
        <v>956</v>
      </c>
      <c r="K386" s="3" t="s">
        <v>31</v>
      </c>
      <c r="L386" s="3"/>
      <c r="M386" s="3" t="s">
        <v>115</v>
      </c>
      <c r="N386" s="3"/>
      <c r="O386" s="3"/>
      <c r="P386" s="3"/>
      <c r="Q386" s="3"/>
      <c r="R386" s="3"/>
      <c r="S386" s="3"/>
      <c r="T386" s="3"/>
      <c r="U386" s="3">
        <v>715</v>
      </c>
      <c r="V386" s="4">
        <v>44068</v>
      </c>
      <c r="W386" s="3" t="s">
        <v>33</v>
      </c>
      <c r="X386" s="3" t="s">
        <v>808</v>
      </c>
    </row>
    <row r="387" spans="1:24" ht="27.95" x14ac:dyDescent="0.3">
      <c r="A387" s="3">
        <v>381</v>
      </c>
      <c r="B387" s="3" t="str">
        <f>"201400090048"</f>
        <v>201400090048</v>
      </c>
      <c r="C387" s="3">
        <v>107345</v>
      </c>
      <c r="D387" s="3" t="s">
        <v>1719</v>
      </c>
      <c r="E387" s="3">
        <v>10008507487</v>
      </c>
      <c r="F387" s="3" t="s">
        <v>1720</v>
      </c>
      <c r="G387" s="3" t="s">
        <v>1721</v>
      </c>
      <c r="H387" s="3" t="s">
        <v>233</v>
      </c>
      <c r="I387" s="3" t="s">
        <v>637</v>
      </c>
      <c r="J387" s="3" t="s">
        <v>888</v>
      </c>
      <c r="K387" s="3" t="s">
        <v>31</v>
      </c>
      <c r="L387" s="3" t="s">
        <v>1028</v>
      </c>
      <c r="M387" s="3"/>
      <c r="N387" s="3"/>
      <c r="O387" s="3"/>
      <c r="P387" s="3"/>
      <c r="Q387" s="3"/>
      <c r="R387" s="3"/>
      <c r="S387" s="3"/>
      <c r="T387" s="3"/>
      <c r="U387" s="3">
        <v>165</v>
      </c>
      <c r="V387" s="4">
        <v>41834</v>
      </c>
      <c r="W387" s="3" t="s">
        <v>33</v>
      </c>
      <c r="X387" s="3" t="s">
        <v>1720</v>
      </c>
    </row>
    <row r="388" spans="1:24" ht="41.95" x14ac:dyDescent="0.3">
      <c r="A388" s="3">
        <v>382</v>
      </c>
      <c r="B388" s="3" t="str">
        <f>"1953452"</f>
        <v>1953452</v>
      </c>
      <c r="C388" s="3">
        <v>83953</v>
      </c>
      <c r="D388" s="3" t="s">
        <v>1722</v>
      </c>
      <c r="E388" s="3">
        <v>10056259312</v>
      </c>
      <c r="F388" s="3" t="s">
        <v>1723</v>
      </c>
      <c r="G388" s="3" t="s">
        <v>1724</v>
      </c>
      <c r="H388" s="3" t="s">
        <v>84</v>
      </c>
      <c r="I388" s="3" t="s">
        <v>421</v>
      </c>
      <c r="J388" s="3" t="s">
        <v>422</v>
      </c>
      <c r="K388" s="3" t="s">
        <v>31</v>
      </c>
      <c r="L388" s="3" t="s">
        <v>1725</v>
      </c>
      <c r="M388" s="3" t="s">
        <v>269</v>
      </c>
      <c r="N388" s="3"/>
      <c r="O388" s="3"/>
      <c r="P388" s="3"/>
      <c r="Q388" s="3"/>
      <c r="R388" s="3"/>
      <c r="S388" s="3"/>
      <c r="T388" s="3"/>
      <c r="U388" s="3">
        <v>684</v>
      </c>
      <c r="V388" s="4">
        <v>40183</v>
      </c>
      <c r="W388" s="3" t="s">
        <v>33</v>
      </c>
      <c r="X388" s="3" t="s">
        <v>1726</v>
      </c>
    </row>
    <row r="389" spans="1:24" ht="27.95" x14ac:dyDescent="0.3">
      <c r="A389" s="3">
        <v>383</v>
      </c>
      <c r="B389" s="3" t="str">
        <f>"202000013876"</f>
        <v>202000013876</v>
      </c>
      <c r="C389" s="3">
        <v>20093</v>
      </c>
      <c r="D389" s="3" t="s">
        <v>1727</v>
      </c>
      <c r="E389" s="3">
        <v>10757925074</v>
      </c>
      <c r="F389" s="3" t="s">
        <v>1728</v>
      </c>
      <c r="G389" s="3" t="s">
        <v>1729</v>
      </c>
      <c r="H389" s="3" t="s">
        <v>233</v>
      </c>
      <c r="I389" s="3" t="s">
        <v>233</v>
      </c>
      <c r="J389" s="3" t="s">
        <v>1730</v>
      </c>
      <c r="K389" s="3" t="s">
        <v>31</v>
      </c>
      <c r="L389" s="3" t="s">
        <v>87</v>
      </c>
      <c r="M389" s="3" t="s">
        <v>41</v>
      </c>
      <c r="N389" s="3"/>
      <c r="O389" s="3"/>
      <c r="P389" s="3"/>
      <c r="Q389" s="3"/>
      <c r="R389" s="3"/>
      <c r="S389" s="3"/>
      <c r="T389" s="3"/>
      <c r="U389" s="3">
        <v>330</v>
      </c>
      <c r="V389" s="4">
        <v>43858</v>
      </c>
      <c r="W389" s="3" t="s">
        <v>33</v>
      </c>
      <c r="X389" s="3" t="s">
        <v>1728</v>
      </c>
    </row>
    <row r="390" spans="1:24" ht="27.95" x14ac:dyDescent="0.3">
      <c r="A390" s="3">
        <v>384</v>
      </c>
      <c r="B390" s="3" t="str">
        <f>"1466718"</f>
        <v>1466718</v>
      </c>
      <c r="C390" s="3">
        <v>33180</v>
      </c>
      <c r="D390" s="3" t="s">
        <v>1731</v>
      </c>
      <c r="E390" s="3">
        <v>10293088671</v>
      </c>
      <c r="F390" s="3" t="s">
        <v>1732</v>
      </c>
      <c r="G390" s="3" t="s">
        <v>1733</v>
      </c>
      <c r="H390" s="3" t="s">
        <v>150</v>
      </c>
      <c r="I390" s="3" t="s">
        <v>150</v>
      </c>
      <c r="J390" s="3" t="s">
        <v>1734</v>
      </c>
      <c r="K390" s="3" t="s">
        <v>31</v>
      </c>
      <c r="L390" s="3" t="s">
        <v>87</v>
      </c>
      <c r="M390" s="3" t="s">
        <v>369</v>
      </c>
      <c r="N390" s="3" t="s">
        <v>108</v>
      </c>
      <c r="O390" s="3"/>
      <c r="P390" s="3"/>
      <c r="Q390" s="3"/>
      <c r="R390" s="3"/>
      <c r="S390" s="3"/>
      <c r="T390" s="3"/>
      <c r="U390" s="3">
        <v>342</v>
      </c>
      <c r="V390" s="4">
        <v>38097</v>
      </c>
      <c r="W390" s="3" t="s">
        <v>33</v>
      </c>
      <c r="X390" s="3" t="s">
        <v>1735</v>
      </c>
    </row>
    <row r="391" spans="1:24" ht="27.95" x14ac:dyDescent="0.3">
      <c r="A391" s="3">
        <v>385</v>
      </c>
      <c r="B391" s="3" t="str">
        <f>"1723545"</f>
        <v>1723545</v>
      </c>
      <c r="C391" s="3">
        <v>40784</v>
      </c>
      <c r="D391" s="3" t="s">
        <v>1736</v>
      </c>
      <c r="E391" s="3">
        <v>10271521915</v>
      </c>
      <c r="F391" s="3" t="s">
        <v>1737</v>
      </c>
      <c r="G391" s="3" t="s">
        <v>1738</v>
      </c>
      <c r="H391" s="3" t="s">
        <v>498</v>
      </c>
      <c r="I391" s="3" t="s">
        <v>1739</v>
      </c>
      <c r="J391" s="3" t="s">
        <v>1740</v>
      </c>
      <c r="K391" s="3" t="s">
        <v>31</v>
      </c>
      <c r="L391" s="3" t="s">
        <v>50</v>
      </c>
      <c r="M391" s="3" t="s">
        <v>145</v>
      </c>
      <c r="N391" s="3"/>
      <c r="O391" s="3"/>
      <c r="P391" s="3"/>
      <c r="Q391" s="3"/>
      <c r="R391" s="3"/>
      <c r="S391" s="3"/>
      <c r="T391" s="3"/>
      <c r="U391" s="3">
        <v>228</v>
      </c>
      <c r="V391" s="4">
        <v>39346</v>
      </c>
      <c r="W391" s="3" t="s">
        <v>33</v>
      </c>
      <c r="X391" s="3" t="s">
        <v>1741</v>
      </c>
    </row>
    <row r="392" spans="1:24" ht="27.95" x14ac:dyDescent="0.3">
      <c r="A392" s="3">
        <v>386</v>
      </c>
      <c r="B392" s="3" t="str">
        <f>"201900045589"</f>
        <v>201900045589</v>
      </c>
      <c r="C392" s="3">
        <v>142076</v>
      </c>
      <c r="D392" s="3" t="s">
        <v>1742</v>
      </c>
      <c r="E392" s="3">
        <v>10427094826</v>
      </c>
      <c r="F392" s="3" t="s">
        <v>1743</v>
      </c>
      <c r="G392" s="3" t="s">
        <v>1744</v>
      </c>
      <c r="H392" s="3" t="s">
        <v>92</v>
      </c>
      <c r="I392" s="3" t="s">
        <v>655</v>
      </c>
      <c r="J392" s="3" t="s">
        <v>1745</v>
      </c>
      <c r="K392" s="3" t="s">
        <v>31</v>
      </c>
      <c r="L392" s="3" t="s">
        <v>115</v>
      </c>
      <c r="M392" s="3" t="s">
        <v>115</v>
      </c>
      <c r="N392" s="3"/>
      <c r="O392" s="3"/>
      <c r="P392" s="3"/>
      <c r="Q392" s="3"/>
      <c r="R392" s="3"/>
      <c r="S392" s="3"/>
      <c r="T392" s="3"/>
      <c r="U392" s="3">
        <v>715</v>
      </c>
      <c r="V392" s="4">
        <v>43545</v>
      </c>
      <c r="W392" s="3" t="s">
        <v>33</v>
      </c>
      <c r="X392" s="3" t="s">
        <v>1743</v>
      </c>
    </row>
    <row r="393" spans="1:24" ht="27.95" x14ac:dyDescent="0.3">
      <c r="A393" s="3">
        <v>387</v>
      </c>
      <c r="B393" s="3" t="str">
        <f>"201900004900"</f>
        <v>201900004900</v>
      </c>
      <c r="C393" s="3">
        <v>140729</v>
      </c>
      <c r="D393" s="3" t="s">
        <v>1746</v>
      </c>
      <c r="E393" s="3">
        <v>10052995260</v>
      </c>
      <c r="F393" s="3" t="s">
        <v>1747</v>
      </c>
      <c r="G393" s="3" t="s">
        <v>1748</v>
      </c>
      <c r="H393" s="3" t="s">
        <v>84</v>
      </c>
      <c r="I393" s="3" t="s">
        <v>308</v>
      </c>
      <c r="J393" s="3" t="s">
        <v>1749</v>
      </c>
      <c r="K393" s="3" t="s">
        <v>31</v>
      </c>
      <c r="L393" s="3" t="s">
        <v>198</v>
      </c>
      <c r="M393" s="3" t="s">
        <v>95</v>
      </c>
      <c r="N393" s="3"/>
      <c r="O393" s="3"/>
      <c r="P393" s="3"/>
      <c r="Q393" s="3"/>
      <c r="R393" s="3"/>
      <c r="S393" s="3"/>
      <c r="T393" s="3"/>
      <c r="U393" s="3">
        <v>715</v>
      </c>
      <c r="V393" s="4">
        <v>43486</v>
      </c>
      <c r="W393" s="3" t="s">
        <v>33</v>
      </c>
      <c r="X393" s="3" t="s">
        <v>1747</v>
      </c>
    </row>
    <row r="394" spans="1:24" ht="27.95" x14ac:dyDescent="0.3">
      <c r="A394" s="3">
        <v>388</v>
      </c>
      <c r="B394" s="3" t="str">
        <f>"1306125"</f>
        <v>1306125</v>
      </c>
      <c r="C394" s="3">
        <v>19996</v>
      </c>
      <c r="D394" s="3" t="s">
        <v>1750</v>
      </c>
      <c r="E394" s="3">
        <v>10055811411</v>
      </c>
      <c r="F394" s="3" t="s">
        <v>1751</v>
      </c>
      <c r="G394" s="3" t="s">
        <v>1752</v>
      </c>
      <c r="H394" s="3" t="s">
        <v>84</v>
      </c>
      <c r="I394" s="3" t="s">
        <v>85</v>
      </c>
      <c r="J394" s="3" t="s">
        <v>422</v>
      </c>
      <c r="K394" s="3" t="s">
        <v>31</v>
      </c>
      <c r="L394" s="3" t="s">
        <v>49</v>
      </c>
      <c r="M394" s="3" t="s">
        <v>48</v>
      </c>
      <c r="N394" s="3" t="s">
        <v>50</v>
      </c>
      <c r="O394" s="3"/>
      <c r="P394" s="3"/>
      <c r="Q394" s="3"/>
      <c r="R394" s="3"/>
      <c r="S394" s="3"/>
      <c r="T394" s="3"/>
      <c r="U394" s="3">
        <v>440</v>
      </c>
      <c r="V394" s="4">
        <v>36867</v>
      </c>
      <c r="W394" s="3" t="s">
        <v>33</v>
      </c>
      <c r="X394" s="3" t="s">
        <v>1753</v>
      </c>
    </row>
    <row r="395" spans="1:24" ht="27.95" x14ac:dyDescent="0.3">
      <c r="A395" s="3">
        <v>389</v>
      </c>
      <c r="B395" s="3" t="str">
        <f>"201600053019"</f>
        <v>201600053019</v>
      </c>
      <c r="C395" s="3">
        <v>64039</v>
      </c>
      <c r="D395" s="3" t="s">
        <v>1754</v>
      </c>
      <c r="E395" s="3">
        <v>10408262181</v>
      </c>
      <c r="F395" s="3" t="s">
        <v>1755</v>
      </c>
      <c r="G395" s="3" t="s">
        <v>1756</v>
      </c>
      <c r="H395" s="3" t="s">
        <v>45</v>
      </c>
      <c r="I395" s="3" t="s">
        <v>46</v>
      </c>
      <c r="J395" s="3" t="s">
        <v>46</v>
      </c>
      <c r="K395" s="3" t="s">
        <v>31</v>
      </c>
      <c r="L395" s="3"/>
      <c r="M395" s="3"/>
      <c r="N395" s="3" t="s">
        <v>1149</v>
      </c>
      <c r="O395" s="3" t="s">
        <v>1148</v>
      </c>
      <c r="P395" s="3"/>
      <c r="Q395" s="3"/>
      <c r="R395" s="3"/>
      <c r="S395" s="3"/>
      <c r="T395" s="3"/>
      <c r="U395" s="3">
        <v>330</v>
      </c>
      <c r="V395" s="4">
        <v>42486</v>
      </c>
      <c r="W395" s="3" t="s">
        <v>33</v>
      </c>
      <c r="X395" s="3" t="s">
        <v>1755</v>
      </c>
    </row>
    <row r="396" spans="1:24" ht="27.95" x14ac:dyDescent="0.3">
      <c r="A396" s="3">
        <v>390</v>
      </c>
      <c r="B396" s="3" t="str">
        <f>"202000106082"</f>
        <v>202000106082</v>
      </c>
      <c r="C396" s="3">
        <v>150611</v>
      </c>
      <c r="D396" s="3" t="s">
        <v>1757</v>
      </c>
      <c r="E396" s="3">
        <v>10427128224</v>
      </c>
      <c r="F396" s="3" t="s">
        <v>1758</v>
      </c>
      <c r="G396" s="3" t="s">
        <v>1759</v>
      </c>
      <c r="H396" s="3" t="s">
        <v>28</v>
      </c>
      <c r="I396" s="3" t="s">
        <v>29</v>
      </c>
      <c r="J396" s="3" t="s">
        <v>130</v>
      </c>
      <c r="K396" s="3" t="s">
        <v>31</v>
      </c>
      <c r="L396" s="3" t="s">
        <v>32</v>
      </c>
      <c r="M396" s="3"/>
      <c r="N396" s="3"/>
      <c r="O396" s="3"/>
      <c r="P396" s="3"/>
      <c r="Q396" s="3"/>
      <c r="R396" s="3"/>
      <c r="S396" s="3"/>
      <c r="T396" s="3"/>
      <c r="U396" s="3">
        <v>715</v>
      </c>
      <c r="V396" s="4">
        <v>44060</v>
      </c>
      <c r="W396" s="4">
        <v>44425</v>
      </c>
      <c r="X396" s="3" t="s">
        <v>1758</v>
      </c>
    </row>
    <row r="397" spans="1:24" ht="27.95" x14ac:dyDescent="0.3">
      <c r="A397" s="3">
        <v>391</v>
      </c>
      <c r="B397" s="3" t="str">
        <f>"201800169144"</f>
        <v>201800169144</v>
      </c>
      <c r="C397" s="3">
        <v>139089</v>
      </c>
      <c r="D397" s="3" t="s">
        <v>1760</v>
      </c>
      <c r="E397" s="3">
        <v>10012515397</v>
      </c>
      <c r="F397" s="3" t="s">
        <v>1761</v>
      </c>
      <c r="G397" s="3" t="s">
        <v>1762</v>
      </c>
      <c r="H397" s="3" t="s">
        <v>45</v>
      </c>
      <c r="I397" s="3" t="s">
        <v>45</v>
      </c>
      <c r="J397" s="3" t="s">
        <v>524</v>
      </c>
      <c r="K397" s="3" t="s">
        <v>31</v>
      </c>
      <c r="L397" s="3" t="s">
        <v>340</v>
      </c>
      <c r="M397" s="3"/>
      <c r="N397" s="3"/>
      <c r="O397" s="3"/>
      <c r="P397" s="3"/>
      <c r="Q397" s="3"/>
      <c r="R397" s="3"/>
      <c r="S397" s="3"/>
      <c r="T397" s="3"/>
      <c r="U397" s="3">
        <v>715</v>
      </c>
      <c r="V397" s="4">
        <v>43384</v>
      </c>
      <c r="W397" s="3" t="s">
        <v>33</v>
      </c>
      <c r="X397" s="3" t="s">
        <v>1761</v>
      </c>
    </row>
    <row r="398" spans="1:24" ht="27.95" x14ac:dyDescent="0.3">
      <c r="A398" s="3">
        <v>392</v>
      </c>
      <c r="B398" s="3" t="str">
        <f>"201800030021"</f>
        <v>201800030021</v>
      </c>
      <c r="C398" s="3">
        <v>134657</v>
      </c>
      <c r="D398" s="3" t="s">
        <v>1763</v>
      </c>
      <c r="E398" s="3">
        <v>10414517868</v>
      </c>
      <c r="F398" s="3" t="s">
        <v>1764</v>
      </c>
      <c r="G398" s="3" t="s">
        <v>1765</v>
      </c>
      <c r="H398" s="3" t="s">
        <v>28</v>
      </c>
      <c r="I398" s="3" t="s">
        <v>1203</v>
      </c>
      <c r="J398" s="3" t="s">
        <v>1766</v>
      </c>
      <c r="K398" s="3" t="s">
        <v>31</v>
      </c>
      <c r="L398" s="3" t="s">
        <v>32</v>
      </c>
      <c r="M398" s="3"/>
      <c r="N398" s="3"/>
      <c r="O398" s="3"/>
      <c r="P398" s="3"/>
      <c r="Q398" s="3"/>
      <c r="R398" s="3"/>
      <c r="S398" s="3"/>
      <c r="T398" s="3"/>
      <c r="U398" s="3">
        <v>715</v>
      </c>
      <c r="V398" s="4">
        <v>43152</v>
      </c>
      <c r="W398" s="3" t="s">
        <v>33</v>
      </c>
      <c r="X398" s="3" t="s">
        <v>1764</v>
      </c>
    </row>
    <row r="399" spans="1:24" ht="27.95" x14ac:dyDescent="0.3">
      <c r="A399" s="3">
        <v>393</v>
      </c>
      <c r="B399" s="3" t="str">
        <f>"202000153741"</f>
        <v>202000153741</v>
      </c>
      <c r="C399" s="3">
        <v>33412</v>
      </c>
      <c r="D399" s="3" t="s">
        <v>1767</v>
      </c>
      <c r="E399" s="3">
        <v>10249848650</v>
      </c>
      <c r="F399" s="3" t="s">
        <v>1768</v>
      </c>
      <c r="G399" s="3" t="s">
        <v>1769</v>
      </c>
      <c r="H399" s="3" t="s">
        <v>28</v>
      </c>
      <c r="I399" s="3" t="s">
        <v>29</v>
      </c>
      <c r="J399" s="3" t="s">
        <v>774</v>
      </c>
      <c r="K399" s="3" t="s">
        <v>31</v>
      </c>
      <c r="L399" s="3" t="s">
        <v>806</v>
      </c>
      <c r="M399" s="3"/>
      <c r="N399" s="3"/>
      <c r="O399" s="3"/>
      <c r="P399" s="3"/>
      <c r="Q399" s="3"/>
      <c r="R399" s="3"/>
      <c r="S399" s="3"/>
      <c r="T399" s="3"/>
      <c r="U399" s="3">
        <v>330</v>
      </c>
      <c r="V399" s="4">
        <v>44130</v>
      </c>
      <c r="W399" s="4">
        <v>44495</v>
      </c>
      <c r="X399" s="3" t="s">
        <v>1768</v>
      </c>
    </row>
    <row r="400" spans="1:24" ht="27.95" x14ac:dyDescent="0.3">
      <c r="A400" s="3">
        <v>394</v>
      </c>
      <c r="B400" s="3" t="str">
        <f>"201800026084"</f>
        <v>201800026084</v>
      </c>
      <c r="C400" s="3">
        <v>18286</v>
      </c>
      <c r="D400" s="3" t="s">
        <v>1770</v>
      </c>
      <c r="E400" s="3">
        <v>10025347710</v>
      </c>
      <c r="F400" s="3" t="s">
        <v>1771</v>
      </c>
      <c r="G400" s="3" t="s">
        <v>1772</v>
      </c>
      <c r="H400" s="3" t="s">
        <v>45</v>
      </c>
      <c r="I400" s="3" t="s">
        <v>448</v>
      </c>
      <c r="J400" s="3" t="s">
        <v>728</v>
      </c>
      <c r="K400" s="3" t="s">
        <v>31</v>
      </c>
      <c r="L400" s="3"/>
      <c r="M400" s="3"/>
      <c r="N400" s="3" t="s">
        <v>826</v>
      </c>
      <c r="O400" s="3" t="s">
        <v>236</v>
      </c>
      <c r="P400" s="3"/>
      <c r="Q400" s="3"/>
      <c r="R400" s="3"/>
      <c r="S400" s="3"/>
      <c r="T400" s="3"/>
      <c r="U400" s="3">
        <v>715</v>
      </c>
      <c r="V400" s="4">
        <v>43149</v>
      </c>
      <c r="W400" s="3" t="s">
        <v>33</v>
      </c>
      <c r="X400" s="3" t="s">
        <v>1771</v>
      </c>
    </row>
    <row r="401" spans="1:24" ht="27.95" x14ac:dyDescent="0.3">
      <c r="A401" s="3">
        <v>395</v>
      </c>
      <c r="B401" s="3" t="str">
        <f>"202000134557"</f>
        <v>202000134557</v>
      </c>
      <c r="C401" s="3">
        <v>110955</v>
      </c>
      <c r="D401" s="3" t="s">
        <v>1773</v>
      </c>
      <c r="E401" s="3">
        <v>10450152841</v>
      </c>
      <c r="F401" s="3" t="s">
        <v>1774</v>
      </c>
      <c r="G401" s="3" t="s">
        <v>1775</v>
      </c>
      <c r="H401" s="3" t="s">
        <v>28</v>
      </c>
      <c r="I401" s="3" t="s">
        <v>29</v>
      </c>
      <c r="J401" s="3" t="s">
        <v>130</v>
      </c>
      <c r="K401" s="3" t="s">
        <v>31</v>
      </c>
      <c r="L401" s="3" t="s">
        <v>80</v>
      </c>
      <c r="M401" s="3"/>
      <c r="N401" s="3"/>
      <c r="O401" s="3"/>
      <c r="P401" s="3"/>
      <c r="Q401" s="3"/>
      <c r="R401" s="3"/>
      <c r="S401" s="3"/>
      <c r="T401" s="3"/>
      <c r="U401" s="3">
        <v>330</v>
      </c>
      <c r="V401" s="4">
        <v>44109</v>
      </c>
      <c r="W401" s="4">
        <v>44474</v>
      </c>
      <c r="X401" s="3" t="s">
        <v>1774</v>
      </c>
    </row>
    <row r="402" spans="1:24" ht="27.95" x14ac:dyDescent="0.3">
      <c r="A402" s="3">
        <v>396</v>
      </c>
      <c r="B402" s="3" t="str">
        <f>"201300104406"</f>
        <v>201300104406</v>
      </c>
      <c r="C402" s="3">
        <v>103124</v>
      </c>
      <c r="D402" s="3" t="s">
        <v>1776</v>
      </c>
      <c r="E402" s="3">
        <v>10414589486</v>
      </c>
      <c r="F402" s="3" t="s">
        <v>1777</v>
      </c>
      <c r="G402" s="3" t="s">
        <v>1778</v>
      </c>
      <c r="H402" s="3" t="s">
        <v>194</v>
      </c>
      <c r="I402" s="3" t="s">
        <v>813</v>
      </c>
      <c r="J402" s="3" t="s">
        <v>813</v>
      </c>
      <c r="K402" s="3" t="s">
        <v>31</v>
      </c>
      <c r="L402" s="3"/>
      <c r="M402" s="3" t="s">
        <v>814</v>
      </c>
      <c r="N402" s="3"/>
      <c r="O402" s="3"/>
      <c r="P402" s="3"/>
      <c r="Q402" s="3"/>
      <c r="R402" s="3"/>
      <c r="S402" s="3"/>
      <c r="T402" s="3"/>
      <c r="U402" s="3">
        <v>330</v>
      </c>
      <c r="V402" s="4">
        <v>41437</v>
      </c>
      <c r="W402" s="3" t="s">
        <v>33</v>
      </c>
      <c r="X402" s="3" t="s">
        <v>1777</v>
      </c>
    </row>
    <row r="403" spans="1:24" ht="27.95" x14ac:dyDescent="0.3">
      <c r="A403" s="3">
        <v>397</v>
      </c>
      <c r="B403" s="3" t="str">
        <f>"201000001439"</f>
        <v>201000001439</v>
      </c>
      <c r="C403" s="3">
        <v>18505</v>
      </c>
      <c r="D403" s="3" t="s">
        <v>1779</v>
      </c>
      <c r="E403" s="3">
        <v>10017988790</v>
      </c>
      <c r="F403" s="3" t="s">
        <v>1780</v>
      </c>
      <c r="G403" s="3" t="s">
        <v>1781</v>
      </c>
      <c r="H403" s="3" t="s">
        <v>45</v>
      </c>
      <c r="I403" s="3" t="s">
        <v>105</v>
      </c>
      <c r="J403" s="3" t="s">
        <v>144</v>
      </c>
      <c r="K403" s="3" t="s">
        <v>31</v>
      </c>
      <c r="L403" s="3" t="s">
        <v>49</v>
      </c>
      <c r="M403" s="3" t="s">
        <v>48</v>
      </c>
      <c r="N403" s="3" t="s">
        <v>50</v>
      </c>
      <c r="O403" s="3"/>
      <c r="P403" s="3"/>
      <c r="Q403" s="3"/>
      <c r="R403" s="3"/>
      <c r="S403" s="3"/>
      <c r="T403" s="3"/>
      <c r="U403" s="3">
        <v>440</v>
      </c>
      <c r="V403" s="4">
        <v>36599</v>
      </c>
      <c r="W403" s="3" t="s">
        <v>33</v>
      </c>
      <c r="X403" s="3" t="s">
        <v>1782</v>
      </c>
    </row>
    <row r="404" spans="1:24" ht="27.95" x14ac:dyDescent="0.3">
      <c r="A404" s="3">
        <v>398</v>
      </c>
      <c r="B404" s="3" t="str">
        <f>"201000001438"</f>
        <v>201000001438</v>
      </c>
      <c r="C404" s="3">
        <v>18275</v>
      </c>
      <c r="D404" s="3" t="s">
        <v>1783</v>
      </c>
      <c r="E404" s="3">
        <v>10018186824</v>
      </c>
      <c r="F404" s="3" t="s">
        <v>1784</v>
      </c>
      <c r="G404" s="3" t="s">
        <v>1785</v>
      </c>
      <c r="H404" s="3" t="s">
        <v>45</v>
      </c>
      <c r="I404" s="3" t="s">
        <v>440</v>
      </c>
      <c r="J404" s="3" t="s">
        <v>440</v>
      </c>
      <c r="K404" s="3" t="s">
        <v>31</v>
      </c>
      <c r="L404" s="3" t="s">
        <v>48</v>
      </c>
      <c r="M404" s="3" t="s">
        <v>50</v>
      </c>
      <c r="N404" s="3" t="s">
        <v>49</v>
      </c>
      <c r="O404" s="3"/>
      <c r="P404" s="3"/>
      <c r="Q404" s="3"/>
      <c r="R404" s="3"/>
      <c r="S404" s="3"/>
      <c r="T404" s="3"/>
      <c r="U404" s="3">
        <v>440</v>
      </c>
      <c r="V404" s="4">
        <v>36591</v>
      </c>
      <c r="W404" s="3" t="s">
        <v>33</v>
      </c>
      <c r="X404" s="3" t="s">
        <v>1786</v>
      </c>
    </row>
    <row r="405" spans="1:24" ht="27.95" x14ac:dyDescent="0.3">
      <c r="A405" s="3">
        <v>399</v>
      </c>
      <c r="B405" s="3" t="str">
        <f>"201000001437"</f>
        <v>201000001437</v>
      </c>
      <c r="C405" s="3">
        <v>17920</v>
      </c>
      <c r="D405" s="3" t="s">
        <v>1787</v>
      </c>
      <c r="E405" s="3">
        <v>10014826845</v>
      </c>
      <c r="F405" s="3" t="s">
        <v>1788</v>
      </c>
      <c r="G405" s="3" t="s">
        <v>1789</v>
      </c>
      <c r="H405" s="3" t="s">
        <v>45</v>
      </c>
      <c r="I405" s="3" t="s">
        <v>46</v>
      </c>
      <c r="J405" s="3" t="s">
        <v>46</v>
      </c>
      <c r="K405" s="3" t="s">
        <v>31</v>
      </c>
      <c r="L405" s="3" t="s">
        <v>49</v>
      </c>
      <c r="M405" s="3" t="s">
        <v>50</v>
      </c>
      <c r="N405" s="3" t="s">
        <v>48</v>
      </c>
      <c r="O405" s="3"/>
      <c r="P405" s="3"/>
      <c r="Q405" s="3"/>
      <c r="R405" s="3"/>
      <c r="S405" s="3"/>
      <c r="T405" s="3"/>
      <c r="U405" s="3">
        <v>440</v>
      </c>
      <c r="V405" s="4">
        <v>36557</v>
      </c>
      <c r="W405" s="3" t="s">
        <v>33</v>
      </c>
      <c r="X405" s="3" t="s">
        <v>1790</v>
      </c>
    </row>
    <row r="406" spans="1:24" ht="27.95" x14ac:dyDescent="0.3">
      <c r="A406" s="3">
        <v>400</v>
      </c>
      <c r="B406" s="3" t="str">
        <f>"201900216369"</f>
        <v>201900216369</v>
      </c>
      <c r="C406" s="3">
        <v>148522</v>
      </c>
      <c r="D406" s="3" t="s">
        <v>1791</v>
      </c>
      <c r="E406" s="3">
        <v>10421013662</v>
      </c>
      <c r="F406" s="3" t="s">
        <v>1792</v>
      </c>
      <c r="G406" s="3" t="s">
        <v>1793</v>
      </c>
      <c r="H406" s="3" t="s">
        <v>233</v>
      </c>
      <c r="I406" s="3" t="s">
        <v>234</v>
      </c>
      <c r="J406" s="3" t="s">
        <v>1502</v>
      </c>
      <c r="K406" s="3" t="s">
        <v>31</v>
      </c>
      <c r="L406" s="3" t="s">
        <v>115</v>
      </c>
      <c r="M406" s="3"/>
      <c r="N406" s="3"/>
      <c r="O406" s="3"/>
      <c r="P406" s="3"/>
      <c r="Q406" s="3"/>
      <c r="R406" s="3"/>
      <c r="S406" s="3"/>
      <c r="T406" s="3"/>
      <c r="U406" s="3">
        <v>715</v>
      </c>
      <c r="V406" s="4">
        <v>43843</v>
      </c>
      <c r="W406" s="3" t="s">
        <v>33</v>
      </c>
      <c r="X406" s="3" t="s">
        <v>1792</v>
      </c>
    </row>
    <row r="407" spans="1:24" ht="27.95" x14ac:dyDescent="0.3">
      <c r="A407" s="3">
        <v>401</v>
      </c>
      <c r="B407" s="3" t="str">
        <f>"201000001436"</f>
        <v>201000001436</v>
      </c>
      <c r="C407" s="3">
        <v>17931</v>
      </c>
      <c r="D407" s="3" t="s">
        <v>1794</v>
      </c>
      <c r="E407" s="3">
        <v>10015123937</v>
      </c>
      <c r="F407" s="3" t="s">
        <v>1795</v>
      </c>
      <c r="G407" s="3" t="s">
        <v>1796</v>
      </c>
      <c r="H407" s="3" t="s">
        <v>45</v>
      </c>
      <c r="I407" s="3" t="s">
        <v>46</v>
      </c>
      <c r="J407" s="3" t="s">
        <v>46</v>
      </c>
      <c r="K407" s="3" t="s">
        <v>31</v>
      </c>
      <c r="L407" s="3" t="s">
        <v>50</v>
      </c>
      <c r="M407" s="3" t="s">
        <v>48</v>
      </c>
      <c r="N407" s="3" t="s">
        <v>49</v>
      </c>
      <c r="O407" s="3"/>
      <c r="P407" s="3"/>
      <c r="Q407" s="3"/>
      <c r="R407" s="3"/>
      <c r="S407" s="3"/>
      <c r="T407" s="3"/>
      <c r="U407" s="3">
        <v>440</v>
      </c>
      <c r="V407" s="4">
        <v>36571</v>
      </c>
      <c r="W407" s="3" t="s">
        <v>33</v>
      </c>
      <c r="X407" s="3" t="s">
        <v>1797</v>
      </c>
    </row>
    <row r="408" spans="1:24" ht="27.95" x14ac:dyDescent="0.3">
      <c r="A408" s="3">
        <v>402</v>
      </c>
      <c r="B408" s="3" t="str">
        <f>"201500084783"</f>
        <v>201500084783</v>
      </c>
      <c r="C408" s="3">
        <v>116152</v>
      </c>
      <c r="D408" s="3" t="s">
        <v>1798</v>
      </c>
      <c r="E408" s="3">
        <v>10410616861</v>
      </c>
      <c r="F408" s="3" t="s">
        <v>1799</v>
      </c>
      <c r="G408" s="3" t="s">
        <v>1800</v>
      </c>
      <c r="H408" s="3" t="s">
        <v>45</v>
      </c>
      <c r="I408" s="3" t="s">
        <v>45</v>
      </c>
      <c r="J408" s="3" t="s">
        <v>524</v>
      </c>
      <c r="K408" s="3" t="s">
        <v>31</v>
      </c>
      <c r="L408" s="3" t="s">
        <v>182</v>
      </c>
      <c r="M408" s="3" t="s">
        <v>64</v>
      </c>
      <c r="N408" s="3"/>
      <c r="O408" s="3"/>
      <c r="P408" s="3"/>
      <c r="Q408" s="3"/>
      <c r="R408" s="3"/>
      <c r="S408" s="3"/>
      <c r="T408" s="3"/>
      <c r="U408" s="3">
        <v>330</v>
      </c>
      <c r="V408" s="4">
        <v>42209</v>
      </c>
      <c r="W408" s="3" t="s">
        <v>33</v>
      </c>
      <c r="X408" s="3" t="s">
        <v>1801</v>
      </c>
    </row>
    <row r="409" spans="1:24" ht="27.95" x14ac:dyDescent="0.3">
      <c r="A409" s="3">
        <v>403</v>
      </c>
      <c r="B409" s="3" t="str">
        <f>"201000001435"</f>
        <v>201000001435</v>
      </c>
      <c r="C409" s="3">
        <v>17927</v>
      </c>
      <c r="D409" s="3" t="s">
        <v>1802</v>
      </c>
      <c r="E409" s="3">
        <v>10018534415</v>
      </c>
      <c r="F409" s="3" t="s">
        <v>1803</v>
      </c>
      <c r="G409" s="3" t="s">
        <v>1804</v>
      </c>
      <c r="H409" s="3" t="s">
        <v>45</v>
      </c>
      <c r="I409" s="3" t="s">
        <v>440</v>
      </c>
      <c r="J409" s="3" t="s">
        <v>441</v>
      </c>
      <c r="K409" s="3" t="s">
        <v>31</v>
      </c>
      <c r="L409" s="3" t="s">
        <v>50</v>
      </c>
      <c r="M409" s="3" t="s">
        <v>49</v>
      </c>
      <c r="N409" s="3" t="s">
        <v>48</v>
      </c>
      <c r="O409" s="3"/>
      <c r="P409" s="3"/>
      <c r="Q409" s="3"/>
      <c r="R409" s="3"/>
      <c r="S409" s="3"/>
      <c r="T409" s="3"/>
      <c r="U409" s="3">
        <v>440</v>
      </c>
      <c r="V409" s="4">
        <v>36571</v>
      </c>
      <c r="W409" s="3" t="s">
        <v>33</v>
      </c>
      <c r="X409" s="3" t="s">
        <v>1805</v>
      </c>
    </row>
    <row r="410" spans="1:24" ht="27.95" x14ac:dyDescent="0.3">
      <c r="A410" s="3">
        <v>404</v>
      </c>
      <c r="B410" s="3" t="str">
        <f>"201200002196"</f>
        <v>201200002196</v>
      </c>
      <c r="C410" s="3">
        <v>95185</v>
      </c>
      <c r="D410" s="3" t="s">
        <v>1806</v>
      </c>
      <c r="E410" s="3">
        <v>10400687949</v>
      </c>
      <c r="F410" s="3" t="s">
        <v>1807</v>
      </c>
      <c r="G410" s="3" t="s">
        <v>1808</v>
      </c>
      <c r="H410" s="3" t="s">
        <v>225</v>
      </c>
      <c r="I410" s="3" t="s">
        <v>268</v>
      </c>
      <c r="J410" s="3" t="s">
        <v>1809</v>
      </c>
      <c r="K410" s="3" t="s">
        <v>31</v>
      </c>
      <c r="L410" s="3" t="s">
        <v>1810</v>
      </c>
      <c r="M410" s="3"/>
      <c r="N410" s="3"/>
      <c r="O410" s="3"/>
      <c r="P410" s="3"/>
      <c r="Q410" s="3"/>
      <c r="R410" s="3"/>
      <c r="S410" s="3"/>
      <c r="T410" s="3"/>
      <c r="U410" s="3">
        <v>285</v>
      </c>
      <c r="V410" s="4">
        <v>40917</v>
      </c>
      <c r="W410" s="3" t="s">
        <v>33</v>
      </c>
      <c r="X410" s="3" t="s">
        <v>1807</v>
      </c>
    </row>
    <row r="411" spans="1:24" ht="27.95" x14ac:dyDescent="0.3">
      <c r="A411" s="3">
        <v>405</v>
      </c>
      <c r="B411" s="3" t="str">
        <f>"1356302"</f>
        <v>1356302</v>
      </c>
      <c r="C411" s="3">
        <v>21571</v>
      </c>
      <c r="D411" s="3" t="s">
        <v>1811</v>
      </c>
      <c r="E411" s="3">
        <v>10008695763</v>
      </c>
      <c r="F411" s="3" t="s">
        <v>1812</v>
      </c>
      <c r="G411" s="3" t="s">
        <v>1813</v>
      </c>
      <c r="H411" s="3" t="s">
        <v>233</v>
      </c>
      <c r="I411" s="3" t="s">
        <v>559</v>
      </c>
      <c r="J411" s="3" t="s">
        <v>560</v>
      </c>
      <c r="K411" s="3" t="s">
        <v>31</v>
      </c>
      <c r="L411" s="3" t="s">
        <v>478</v>
      </c>
      <c r="M411" s="3" t="s">
        <v>50</v>
      </c>
      <c r="N411" s="3" t="s">
        <v>48</v>
      </c>
      <c r="O411" s="3"/>
      <c r="P411" s="3"/>
      <c r="Q411" s="3"/>
      <c r="R411" s="3"/>
      <c r="S411" s="3"/>
      <c r="T411" s="3"/>
      <c r="U411" s="3">
        <v>855</v>
      </c>
      <c r="V411" s="4">
        <v>37298</v>
      </c>
      <c r="W411" s="3" t="s">
        <v>33</v>
      </c>
      <c r="X411" s="3" t="s">
        <v>1814</v>
      </c>
    </row>
    <row r="412" spans="1:24" ht="27.95" x14ac:dyDescent="0.3">
      <c r="A412" s="3">
        <v>406</v>
      </c>
      <c r="B412" s="3" t="str">
        <f>"201700058949"</f>
        <v>201700058949</v>
      </c>
      <c r="C412" s="3">
        <v>64082</v>
      </c>
      <c r="D412" s="3" t="s">
        <v>1815</v>
      </c>
      <c r="E412" s="3">
        <v>10436888924</v>
      </c>
      <c r="F412" s="3" t="s">
        <v>1816</v>
      </c>
      <c r="G412" s="3" t="s">
        <v>1817</v>
      </c>
      <c r="H412" s="3" t="s">
        <v>84</v>
      </c>
      <c r="I412" s="3" t="s">
        <v>421</v>
      </c>
      <c r="J412" s="3" t="s">
        <v>1818</v>
      </c>
      <c r="K412" s="3" t="s">
        <v>31</v>
      </c>
      <c r="L412" s="3"/>
      <c r="M412" s="3"/>
      <c r="N412" s="3"/>
      <c r="O412" s="3" t="s">
        <v>87</v>
      </c>
      <c r="P412" s="3" t="s">
        <v>41</v>
      </c>
      <c r="Q412" s="3"/>
      <c r="R412" s="3"/>
      <c r="S412" s="3"/>
      <c r="T412" s="3"/>
      <c r="U412" s="3">
        <v>330</v>
      </c>
      <c r="V412" s="4">
        <v>42862</v>
      </c>
      <c r="W412" s="3" t="s">
        <v>33</v>
      </c>
      <c r="X412" s="3" t="s">
        <v>1816</v>
      </c>
    </row>
    <row r="413" spans="1:24" ht="27.95" x14ac:dyDescent="0.3">
      <c r="A413" s="3">
        <v>407</v>
      </c>
      <c r="B413" s="3" t="str">
        <f>"1480833"</f>
        <v>1480833</v>
      </c>
      <c r="C413" s="3">
        <v>91400</v>
      </c>
      <c r="D413" s="3" t="s">
        <v>1819</v>
      </c>
      <c r="E413" s="3">
        <v>10020332234</v>
      </c>
      <c r="F413" s="3" t="s">
        <v>1820</v>
      </c>
      <c r="G413" s="3" t="s">
        <v>1821</v>
      </c>
      <c r="H413" s="3" t="s">
        <v>45</v>
      </c>
      <c r="I413" s="3" t="s">
        <v>668</v>
      </c>
      <c r="J413" s="3" t="s">
        <v>1822</v>
      </c>
      <c r="K413" s="3" t="s">
        <v>31</v>
      </c>
      <c r="L413" s="3" t="s">
        <v>322</v>
      </c>
      <c r="M413" s="3" t="s">
        <v>324</v>
      </c>
      <c r="N413" s="3" t="s">
        <v>324</v>
      </c>
      <c r="O413" s="3" t="s">
        <v>324</v>
      </c>
      <c r="P413" s="3"/>
      <c r="Q413" s="3"/>
      <c r="R413" s="3"/>
      <c r="S413" s="3"/>
      <c r="T413" s="3"/>
      <c r="U413" s="3">
        <v>285</v>
      </c>
      <c r="V413" s="4">
        <v>40660</v>
      </c>
      <c r="W413" s="3" t="s">
        <v>33</v>
      </c>
      <c r="X413" s="3" t="s">
        <v>1823</v>
      </c>
    </row>
    <row r="414" spans="1:24" ht="27.95" x14ac:dyDescent="0.3">
      <c r="A414" s="3">
        <v>408</v>
      </c>
      <c r="B414" s="3" t="str">
        <f>"201900053039"</f>
        <v>201900053039</v>
      </c>
      <c r="C414" s="3">
        <v>142400</v>
      </c>
      <c r="D414" s="3" t="s">
        <v>1824</v>
      </c>
      <c r="E414" s="3">
        <v>10404117934</v>
      </c>
      <c r="F414" s="3" t="s">
        <v>1825</v>
      </c>
      <c r="G414" s="3" t="s">
        <v>1826</v>
      </c>
      <c r="H414" s="3" t="s">
        <v>28</v>
      </c>
      <c r="I414" s="3" t="s">
        <v>1827</v>
      </c>
      <c r="J414" s="3" t="s">
        <v>1828</v>
      </c>
      <c r="K414" s="3" t="s">
        <v>31</v>
      </c>
      <c r="L414" s="3" t="s">
        <v>57</v>
      </c>
      <c r="M414" s="3"/>
      <c r="N414" s="3"/>
      <c r="O414" s="3"/>
      <c r="P414" s="3"/>
      <c r="Q414" s="3"/>
      <c r="R414" s="3"/>
      <c r="S414" s="3"/>
      <c r="T414" s="3"/>
      <c r="U414" s="3">
        <v>715</v>
      </c>
      <c r="V414" s="4">
        <v>43557</v>
      </c>
      <c r="W414" s="3" t="s">
        <v>33</v>
      </c>
      <c r="X414" s="3" t="s">
        <v>1825</v>
      </c>
    </row>
    <row r="415" spans="1:24" ht="27.95" x14ac:dyDescent="0.3">
      <c r="A415" s="3">
        <v>409</v>
      </c>
      <c r="B415" s="3" t="str">
        <f>"1532670"</f>
        <v>1532670</v>
      </c>
      <c r="C415" s="3">
        <v>40853</v>
      </c>
      <c r="D415" s="3" t="s">
        <v>1829</v>
      </c>
      <c r="E415" s="3">
        <v>10055886798</v>
      </c>
      <c r="F415" s="3" t="s">
        <v>1830</v>
      </c>
      <c r="G415" s="3" t="s">
        <v>1831</v>
      </c>
      <c r="H415" s="3" t="s">
        <v>84</v>
      </c>
      <c r="I415" s="3" t="s">
        <v>85</v>
      </c>
      <c r="J415" s="3" t="s">
        <v>422</v>
      </c>
      <c r="K415" s="3" t="s">
        <v>31</v>
      </c>
      <c r="L415" s="3" t="s">
        <v>50</v>
      </c>
      <c r="M415" s="3" t="s">
        <v>733</v>
      </c>
      <c r="N415" s="3" t="s">
        <v>1832</v>
      </c>
      <c r="O415" s="3"/>
      <c r="P415" s="3"/>
      <c r="Q415" s="3"/>
      <c r="R415" s="3"/>
      <c r="S415" s="3"/>
      <c r="T415" s="3"/>
      <c r="U415" s="3">
        <v>1596</v>
      </c>
      <c r="V415" s="4">
        <v>38441</v>
      </c>
      <c r="W415" s="3" t="s">
        <v>33</v>
      </c>
      <c r="X415" s="3" t="s">
        <v>1833</v>
      </c>
    </row>
    <row r="416" spans="1:24" ht="27.95" x14ac:dyDescent="0.3">
      <c r="A416" s="3">
        <v>410</v>
      </c>
      <c r="B416" s="3" t="str">
        <f>"201400107793"</f>
        <v>201400107793</v>
      </c>
      <c r="C416" s="3">
        <v>97212</v>
      </c>
      <c r="D416" s="3" t="s">
        <v>1834</v>
      </c>
      <c r="E416" s="3">
        <v>10012975347</v>
      </c>
      <c r="F416" s="3" t="s">
        <v>1835</v>
      </c>
      <c r="G416" s="3" t="s">
        <v>1836</v>
      </c>
      <c r="H416" s="3" t="s">
        <v>28</v>
      </c>
      <c r="I416" s="3" t="s">
        <v>1203</v>
      </c>
      <c r="J416" s="3" t="s">
        <v>1204</v>
      </c>
      <c r="K416" s="3" t="s">
        <v>31</v>
      </c>
      <c r="L416" s="3"/>
      <c r="M416" s="3"/>
      <c r="N416" s="3" t="s">
        <v>485</v>
      </c>
      <c r="O416" s="3" t="s">
        <v>39</v>
      </c>
      <c r="P416" s="3"/>
      <c r="Q416" s="3"/>
      <c r="R416" s="3"/>
      <c r="S416" s="3"/>
      <c r="T416" s="3"/>
      <c r="U416" s="3">
        <v>330</v>
      </c>
      <c r="V416" s="4">
        <v>41871</v>
      </c>
      <c r="W416" s="3" t="s">
        <v>33</v>
      </c>
      <c r="X416" s="3" t="s">
        <v>1835</v>
      </c>
    </row>
    <row r="417" spans="1:24" ht="27.95" x14ac:dyDescent="0.3">
      <c r="A417" s="3">
        <v>411</v>
      </c>
      <c r="B417" s="3" t="str">
        <f>"201600076989"</f>
        <v>201600076989</v>
      </c>
      <c r="C417" s="3">
        <v>121657</v>
      </c>
      <c r="D417" s="3" t="s">
        <v>1837</v>
      </c>
      <c r="E417" s="3">
        <v>10231583799</v>
      </c>
      <c r="F417" s="3" t="s">
        <v>1838</v>
      </c>
      <c r="G417" s="3" t="s">
        <v>1839</v>
      </c>
      <c r="H417" s="3" t="s">
        <v>73</v>
      </c>
      <c r="I417" s="3" t="s">
        <v>416</v>
      </c>
      <c r="J417" s="3" t="s">
        <v>1840</v>
      </c>
      <c r="K417" s="3" t="s">
        <v>31</v>
      </c>
      <c r="L417" s="3" t="s">
        <v>1841</v>
      </c>
      <c r="M417" s="3"/>
      <c r="N417" s="3"/>
      <c r="O417" s="3"/>
      <c r="P417" s="3"/>
      <c r="Q417" s="3"/>
      <c r="R417" s="3"/>
      <c r="S417" s="3"/>
      <c r="T417" s="3"/>
      <c r="U417" s="3">
        <v>330</v>
      </c>
      <c r="V417" s="4">
        <v>42521</v>
      </c>
      <c r="W417" s="3" t="s">
        <v>33</v>
      </c>
      <c r="X417" s="3" t="s">
        <v>1838</v>
      </c>
    </row>
    <row r="418" spans="1:24" ht="27.95" x14ac:dyDescent="0.3">
      <c r="A418" s="3">
        <v>412</v>
      </c>
      <c r="B418" s="3" t="str">
        <f>"1401162"</f>
        <v>1401162</v>
      </c>
      <c r="C418" s="3">
        <v>7419</v>
      </c>
      <c r="D418" s="3" t="s">
        <v>1842</v>
      </c>
      <c r="E418" s="3">
        <v>10224548279</v>
      </c>
      <c r="F418" s="3" t="s">
        <v>1843</v>
      </c>
      <c r="G418" s="3" t="s">
        <v>1844</v>
      </c>
      <c r="H418" s="3" t="s">
        <v>233</v>
      </c>
      <c r="I418" s="3" t="s">
        <v>234</v>
      </c>
      <c r="J418" s="3" t="s">
        <v>1502</v>
      </c>
      <c r="K418" s="3" t="s">
        <v>31</v>
      </c>
      <c r="L418" s="3" t="s">
        <v>49</v>
      </c>
      <c r="M418" s="3" t="s">
        <v>164</v>
      </c>
      <c r="N418" s="3" t="s">
        <v>50</v>
      </c>
      <c r="O418" s="3"/>
      <c r="P418" s="3"/>
      <c r="Q418" s="3"/>
      <c r="R418" s="3"/>
      <c r="S418" s="3"/>
      <c r="T418" s="3"/>
      <c r="U418" s="3">
        <v>550</v>
      </c>
      <c r="V418" s="4">
        <v>37636</v>
      </c>
      <c r="W418" s="3" t="s">
        <v>33</v>
      </c>
      <c r="X418" s="3" t="s">
        <v>1845</v>
      </c>
    </row>
    <row r="419" spans="1:24" ht="27.95" x14ac:dyDescent="0.3">
      <c r="A419" s="3">
        <v>413</v>
      </c>
      <c r="B419" s="3" t="str">
        <f>"201800037107"</f>
        <v>201800037107</v>
      </c>
      <c r="C419" s="3">
        <v>134855</v>
      </c>
      <c r="D419" s="3" t="s">
        <v>1846</v>
      </c>
      <c r="E419" s="3">
        <v>20600886861</v>
      </c>
      <c r="F419" s="3" t="s">
        <v>1659</v>
      </c>
      <c r="G419" s="3" t="s">
        <v>687</v>
      </c>
      <c r="H419" s="3" t="s">
        <v>73</v>
      </c>
      <c r="I419" s="3" t="s">
        <v>674</v>
      </c>
      <c r="J419" s="3" t="s">
        <v>688</v>
      </c>
      <c r="K419" s="3" t="s">
        <v>31</v>
      </c>
      <c r="L419" s="3" t="s">
        <v>574</v>
      </c>
      <c r="M419" s="3" t="s">
        <v>65</v>
      </c>
      <c r="N419" s="3" t="s">
        <v>236</v>
      </c>
      <c r="O419" s="3"/>
      <c r="P419" s="3"/>
      <c r="Q419" s="3"/>
      <c r="R419" s="3"/>
      <c r="S419" s="3"/>
      <c r="T419" s="3"/>
      <c r="U419" s="3">
        <v>715</v>
      </c>
      <c r="V419" s="4">
        <v>43168</v>
      </c>
      <c r="W419" s="3" t="s">
        <v>33</v>
      </c>
      <c r="X419" s="3" t="s">
        <v>1661</v>
      </c>
    </row>
    <row r="420" spans="1:24" ht="27.95" x14ac:dyDescent="0.3">
      <c r="A420" s="3">
        <v>414</v>
      </c>
      <c r="B420" s="3" t="str">
        <f>"201300037739"</f>
        <v>201300037739</v>
      </c>
      <c r="C420" s="3">
        <v>99860</v>
      </c>
      <c r="D420" s="3" t="s">
        <v>1847</v>
      </c>
      <c r="E420" s="3">
        <v>10430362327</v>
      </c>
      <c r="F420" s="3" t="s">
        <v>1848</v>
      </c>
      <c r="G420" s="3" t="s">
        <v>1849</v>
      </c>
      <c r="H420" s="3" t="s">
        <v>233</v>
      </c>
      <c r="I420" s="3" t="s">
        <v>233</v>
      </c>
      <c r="J420" s="3" t="s">
        <v>782</v>
      </c>
      <c r="K420" s="3" t="s">
        <v>31</v>
      </c>
      <c r="L420" s="3" t="s">
        <v>41</v>
      </c>
      <c r="M420" s="3" t="s">
        <v>50</v>
      </c>
      <c r="N420" s="3" t="s">
        <v>264</v>
      </c>
      <c r="O420" s="3"/>
      <c r="P420" s="3"/>
      <c r="Q420" s="3"/>
      <c r="R420" s="3"/>
      <c r="S420" s="3"/>
      <c r="T420" s="3"/>
      <c r="U420" s="3">
        <v>330</v>
      </c>
      <c r="V420" s="4">
        <v>41320</v>
      </c>
      <c r="W420" s="3" t="s">
        <v>33</v>
      </c>
      <c r="X420" s="3" t="s">
        <v>1848</v>
      </c>
    </row>
    <row r="421" spans="1:24" ht="27.95" x14ac:dyDescent="0.3">
      <c r="A421" s="3">
        <v>415</v>
      </c>
      <c r="B421" s="3" t="str">
        <f>"1272812"</f>
        <v>1272812</v>
      </c>
      <c r="C421" s="3">
        <v>17883</v>
      </c>
      <c r="D421" s="3" t="s">
        <v>1850</v>
      </c>
      <c r="E421" s="3">
        <v>10061256011</v>
      </c>
      <c r="F421" s="3" t="s">
        <v>1851</v>
      </c>
      <c r="G421" s="3" t="s">
        <v>1852</v>
      </c>
      <c r="H421" s="3" t="s">
        <v>225</v>
      </c>
      <c r="I421" s="3" t="s">
        <v>226</v>
      </c>
      <c r="J421" s="3" t="s">
        <v>1853</v>
      </c>
      <c r="K421" s="3" t="s">
        <v>31</v>
      </c>
      <c r="L421" s="3" t="s">
        <v>197</v>
      </c>
      <c r="M421" s="3" t="s">
        <v>145</v>
      </c>
      <c r="N421" s="3" t="s">
        <v>198</v>
      </c>
      <c r="O421" s="3"/>
      <c r="P421" s="3"/>
      <c r="Q421" s="3"/>
      <c r="R421" s="3"/>
      <c r="S421" s="3"/>
      <c r="T421" s="3"/>
      <c r="U421" s="3">
        <v>399</v>
      </c>
      <c r="V421" s="4">
        <v>36592</v>
      </c>
      <c r="W421" s="3" t="s">
        <v>33</v>
      </c>
      <c r="X421" s="3" t="s">
        <v>1854</v>
      </c>
    </row>
    <row r="422" spans="1:24" ht="27.95" x14ac:dyDescent="0.3">
      <c r="A422" s="3">
        <v>416</v>
      </c>
      <c r="B422" s="3" t="str">
        <f>"201000001443"</f>
        <v>201000001443</v>
      </c>
      <c r="C422" s="3">
        <v>18445</v>
      </c>
      <c r="D422" s="3" t="s">
        <v>1855</v>
      </c>
      <c r="E422" s="3">
        <v>10025283215</v>
      </c>
      <c r="F422" s="3" t="s">
        <v>1856</v>
      </c>
      <c r="G422" s="3" t="s">
        <v>1857</v>
      </c>
      <c r="H422" s="3" t="s">
        <v>45</v>
      </c>
      <c r="I422" s="3" t="s">
        <v>448</v>
      </c>
      <c r="J422" s="3" t="s">
        <v>724</v>
      </c>
      <c r="K422" s="3" t="s">
        <v>31</v>
      </c>
      <c r="L422" s="3" t="s">
        <v>49</v>
      </c>
      <c r="M422" s="3" t="s">
        <v>48</v>
      </c>
      <c r="N422" s="3" t="s">
        <v>50</v>
      </c>
      <c r="O422" s="3"/>
      <c r="P422" s="3"/>
      <c r="Q422" s="3"/>
      <c r="R422" s="3"/>
      <c r="S422" s="3"/>
      <c r="T422" s="3"/>
      <c r="U422" s="3">
        <v>440</v>
      </c>
      <c r="V422" s="4">
        <v>36609</v>
      </c>
      <c r="W422" s="3" t="s">
        <v>33</v>
      </c>
      <c r="X422" s="3" t="s">
        <v>1858</v>
      </c>
    </row>
    <row r="423" spans="1:24" ht="27.95" x14ac:dyDescent="0.3">
      <c r="A423" s="3">
        <v>417</v>
      </c>
      <c r="B423" s="3" t="str">
        <f>"201000001440"</f>
        <v>201000001440</v>
      </c>
      <c r="C423" s="3">
        <v>18451</v>
      </c>
      <c r="D423" s="3" t="s">
        <v>1859</v>
      </c>
      <c r="E423" s="3">
        <v>10012270637</v>
      </c>
      <c r="F423" s="3" t="s">
        <v>1860</v>
      </c>
      <c r="G423" s="3" t="s">
        <v>1861</v>
      </c>
      <c r="H423" s="3" t="s">
        <v>45</v>
      </c>
      <c r="I423" s="3" t="s">
        <v>214</v>
      </c>
      <c r="J423" s="3" t="s">
        <v>474</v>
      </c>
      <c r="K423" s="3" t="s">
        <v>31</v>
      </c>
      <c r="L423" s="3" t="s">
        <v>164</v>
      </c>
      <c r="M423" s="3" t="s">
        <v>50</v>
      </c>
      <c r="N423" s="3" t="s">
        <v>49</v>
      </c>
      <c r="O423" s="3"/>
      <c r="P423" s="3"/>
      <c r="Q423" s="3"/>
      <c r="R423" s="3"/>
      <c r="S423" s="3"/>
      <c r="T423" s="3"/>
      <c r="U423" s="3">
        <v>440</v>
      </c>
      <c r="V423" s="4">
        <v>36599</v>
      </c>
      <c r="W423" s="3" t="s">
        <v>33</v>
      </c>
      <c r="X423" s="3" t="s">
        <v>1862</v>
      </c>
    </row>
    <row r="424" spans="1:24" ht="27.95" x14ac:dyDescent="0.3">
      <c r="A424" s="3">
        <v>418</v>
      </c>
      <c r="B424" s="3" t="str">
        <f>"201000001441"</f>
        <v>201000001441</v>
      </c>
      <c r="C424" s="3">
        <v>18293</v>
      </c>
      <c r="D424" s="3" t="s">
        <v>1863</v>
      </c>
      <c r="E424" s="3">
        <v>10017984778</v>
      </c>
      <c r="F424" s="3" t="s">
        <v>1864</v>
      </c>
      <c r="G424" s="3" t="s">
        <v>1865</v>
      </c>
      <c r="H424" s="3" t="s">
        <v>45</v>
      </c>
      <c r="I424" s="3" t="s">
        <v>105</v>
      </c>
      <c r="J424" s="3" t="s">
        <v>144</v>
      </c>
      <c r="K424" s="3" t="s">
        <v>31</v>
      </c>
      <c r="L424" s="3" t="s">
        <v>49</v>
      </c>
      <c r="M424" s="3" t="s">
        <v>50</v>
      </c>
      <c r="N424" s="3" t="s">
        <v>48</v>
      </c>
      <c r="O424" s="3"/>
      <c r="P424" s="3"/>
      <c r="Q424" s="3"/>
      <c r="R424" s="3"/>
      <c r="S424" s="3"/>
      <c r="T424" s="3"/>
      <c r="U424" s="3">
        <v>440</v>
      </c>
      <c r="V424" s="4">
        <v>36599</v>
      </c>
      <c r="W424" s="3" t="s">
        <v>33</v>
      </c>
      <c r="X424" s="3" t="s">
        <v>1866</v>
      </c>
    </row>
    <row r="425" spans="1:24" ht="27.95" x14ac:dyDescent="0.3">
      <c r="A425" s="3">
        <v>419</v>
      </c>
      <c r="B425" s="3" t="str">
        <f>"1388852"</f>
        <v>1388852</v>
      </c>
      <c r="C425" s="3">
        <v>18858</v>
      </c>
      <c r="D425" s="3" t="s">
        <v>1867</v>
      </c>
      <c r="E425" s="3">
        <v>10018523707</v>
      </c>
      <c r="F425" s="3" t="s">
        <v>1868</v>
      </c>
      <c r="G425" s="3" t="s">
        <v>1869</v>
      </c>
      <c r="H425" s="3" t="s">
        <v>45</v>
      </c>
      <c r="I425" s="3" t="s">
        <v>105</v>
      </c>
      <c r="J425" s="3" t="s">
        <v>144</v>
      </c>
      <c r="K425" s="3" t="s">
        <v>31</v>
      </c>
      <c r="L425" s="3" t="s">
        <v>50</v>
      </c>
      <c r="M425" s="3" t="s">
        <v>49</v>
      </c>
      <c r="N425" s="3" t="s">
        <v>48</v>
      </c>
      <c r="O425" s="3"/>
      <c r="P425" s="3"/>
      <c r="Q425" s="3"/>
      <c r="R425" s="3"/>
      <c r="S425" s="3"/>
      <c r="T425" s="3"/>
      <c r="U425" s="3">
        <v>440</v>
      </c>
      <c r="V425" s="4">
        <v>37574</v>
      </c>
      <c r="W425" s="3" t="s">
        <v>33</v>
      </c>
      <c r="X425" s="3" t="s">
        <v>1870</v>
      </c>
    </row>
    <row r="426" spans="1:24" ht="27.95" x14ac:dyDescent="0.3">
      <c r="A426" s="3">
        <v>420</v>
      </c>
      <c r="B426" s="3" t="str">
        <f>"201400140572"</f>
        <v>201400140572</v>
      </c>
      <c r="C426" s="3">
        <v>112220</v>
      </c>
      <c r="D426" s="3" t="s">
        <v>1871</v>
      </c>
      <c r="E426" s="3">
        <v>10067847739</v>
      </c>
      <c r="F426" s="3" t="s">
        <v>1872</v>
      </c>
      <c r="G426" s="3" t="s">
        <v>1873</v>
      </c>
      <c r="H426" s="3" t="s">
        <v>233</v>
      </c>
      <c r="I426" s="3" t="s">
        <v>234</v>
      </c>
      <c r="J426" s="3" t="s">
        <v>1284</v>
      </c>
      <c r="K426" s="3" t="s">
        <v>31</v>
      </c>
      <c r="L426" s="3" t="s">
        <v>41</v>
      </c>
      <c r="M426" s="3" t="s">
        <v>264</v>
      </c>
      <c r="N426" s="3" t="s">
        <v>50</v>
      </c>
      <c r="O426" s="3"/>
      <c r="P426" s="3"/>
      <c r="Q426" s="3"/>
      <c r="R426" s="3"/>
      <c r="S426" s="3"/>
      <c r="T426" s="3"/>
      <c r="U426" s="3">
        <v>330</v>
      </c>
      <c r="V426" s="4">
        <v>41948</v>
      </c>
      <c r="W426" s="3" t="s">
        <v>33</v>
      </c>
      <c r="X426" s="3" t="s">
        <v>1872</v>
      </c>
    </row>
    <row r="427" spans="1:24" ht="27.95" x14ac:dyDescent="0.3">
      <c r="A427" s="3">
        <v>421</v>
      </c>
      <c r="B427" s="3" t="str">
        <f>"201300076026"</f>
        <v>201300076026</v>
      </c>
      <c r="C427" s="3">
        <v>86614</v>
      </c>
      <c r="D427" s="3" t="s">
        <v>1874</v>
      </c>
      <c r="E427" s="3">
        <v>10277012150</v>
      </c>
      <c r="F427" s="3" t="s">
        <v>1875</v>
      </c>
      <c r="G427" s="3" t="s">
        <v>1876</v>
      </c>
      <c r="H427" s="3" t="s">
        <v>233</v>
      </c>
      <c r="I427" s="3" t="s">
        <v>1194</v>
      </c>
      <c r="J427" s="3" t="s">
        <v>233</v>
      </c>
      <c r="K427" s="3" t="s">
        <v>31</v>
      </c>
      <c r="L427" s="3" t="s">
        <v>622</v>
      </c>
      <c r="M427" s="3"/>
      <c r="N427" s="3"/>
      <c r="O427" s="3"/>
      <c r="P427" s="3"/>
      <c r="Q427" s="3"/>
      <c r="R427" s="3"/>
      <c r="S427" s="3"/>
      <c r="T427" s="3"/>
      <c r="U427" s="3">
        <v>330</v>
      </c>
      <c r="V427" s="4">
        <v>41379</v>
      </c>
      <c r="W427" s="3" t="s">
        <v>33</v>
      </c>
      <c r="X427" s="3" t="s">
        <v>1875</v>
      </c>
    </row>
    <row r="428" spans="1:24" ht="27.95" x14ac:dyDescent="0.3">
      <c r="A428" s="3">
        <v>422</v>
      </c>
      <c r="B428" s="3" t="str">
        <f>"201800026094"</f>
        <v>201800026094</v>
      </c>
      <c r="C428" s="3">
        <v>107762</v>
      </c>
      <c r="D428" s="3" t="s">
        <v>1877</v>
      </c>
      <c r="E428" s="3">
        <v>10022614211</v>
      </c>
      <c r="F428" s="3" t="s">
        <v>1878</v>
      </c>
      <c r="G428" s="3" t="s">
        <v>1879</v>
      </c>
      <c r="H428" s="3" t="s">
        <v>45</v>
      </c>
      <c r="I428" s="3" t="s">
        <v>46</v>
      </c>
      <c r="J428" s="3" t="s">
        <v>411</v>
      </c>
      <c r="K428" s="3" t="s">
        <v>31</v>
      </c>
      <c r="L428" s="3" t="s">
        <v>826</v>
      </c>
      <c r="M428" s="3" t="s">
        <v>236</v>
      </c>
      <c r="N428" s="3" t="s">
        <v>121</v>
      </c>
      <c r="O428" s="3" t="s">
        <v>64</v>
      </c>
      <c r="P428" s="3"/>
      <c r="Q428" s="3"/>
      <c r="R428" s="3"/>
      <c r="S428" s="3"/>
      <c r="T428" s="3"/>
      <c r="U428" s="3">
        <v>715</v>
      </c>
      <c r="V428" s="4">
        <v>43158</v>
      </c>
      <c r="W428" s="3" t="s">
        <v>33</v>
      </c>
      <c r="X428" s="3" t="s">
        <v>1878</v>
      </c>
    </row>
    <row r="429" spans="1:24" ht="27.95" x14ac:dyDescent="0.3">
      <c r="A429" s="3">
        <v>423</v>
      </c>
      <c r="B429" s="3" t="str">
        <f>"201000001445"</f>
        <v>201000001445</v>
      </c>
      <c r="C429" s="3">
        <v>18808</v>
      </c>
      <c r="D429" s="3" t="s">
        <v>1880</v>
      </c>
      <c r="E429" s="3">
        <v>10017663874</v>
      </c>
      <c r="F429" s="3" t="s">
        <v>1881</v>
      </c>
      <c r="G429" s="3" t="s">
        <v>1882</v>
      </c>
      <c r="H429" s="3" t="s">
        <v>45</v>
      </c>
      <c r="I429" s="3" t="s">
        <v>214</v>
      </c>
      <c r="J429" s="3" t="s">
        <v>1013</v>
      </c>
      <c r="K429" s="3" t="s">
        <v>31</v>
      </c>
      <c r="L429" s="3" t="s">
        <v>48</v>
      </c>
      <c r="M429" s="3" t="s">
        <v>50</v>
      </c>
      <c r="N429" s="3" t="s">
        <v>49</v>
      </c>
      <c r="O429" s="3"/>
      <c r="P429" s="3"/>
      <c r="Q429" s="3"/>
      <c r="R429" s="3"/>
      <c r="S429" s="3"/>
      <c r="T429" s="3"/>
      <c r="U429" s="3">
        <v>440</v>
      </c>
      <c r="V429" s="4">
        <v>36633</v>
      </c>
      <c r="W429" s="3" t="s">
        <v>33</v>
      </c>
      <c r="X429" s="3" t="s">
        <v>1883</v>
      </c>
    </row>
    <row r="430" spans="1:24" ht="27.95" x14ac:dyDescent="0.3">
      <c r="A430" s="3">
        <v>424</v>
      </c>
      <c r="B430" s="3" t="str">
        <f>"201000001444"</f>
        <v>201000001444</v>
      </c>
      <c r="C430" s="3">
        <v>18801</v>
      </c>
      <c r="D430" s="3" t="s">
        <v>1884</v>
      </c>
      <c r="E430" s="3">
        <v>10025323063</v>
      </c>
      <c r="F430" s="3" t="s">
        <v>1885</v>
      </c>
      <c r="G430" s="3" t="s">
        <v>1886</v>
      </c>
      <c r="H430" s="3" t="s">
        <v>45</v>
      </c>
      <c r="I430" s="3" t="s">
        <v>448</v>
      </c>
      <c r="J430" s="3" t="s">
        <v>1887</v>
      </c>
      <c r="K430" s="3" t="s">
        <v>31</v>
      </c>
      <c r="L430" s="3" t="s">
        <v>50</v>
      </c>
      <c r="M430" s="3" t="s">
        <v>48</v>
      </c>
      <c r="N430" s="3" t="s">
        <v>49</v>
      </c>
      <c r="O430" s="3"/>
      <c r="P430" s="3"/>
      <c r="Q430" s="3"/>
      <c r="R430" s="3"/>
      <c r="S430" s="3"/>
      <c r="T430" s="3"/>
      <c r="U430" s="3">
        <v>440</v>
      </c>
      <c r="V430" s="4">
        <v>36628</v>
      </c>
      <c r="W430" s="3" t="s">
        <v>33</v>
      </c>
      <c r="X430" s="3" t="s">
        <v>1888</v>
      </c>
    </row>
    <row r="431" spans="1:24" ht="27.95" x14ac:dyDescent="0.3">
      <c r="A431" s="3">
        <v>425</v>
      </c>
      <c r="B431" s="3" t="str">
        <f>"201000001448"</f>
        <v>201000001448</v>
      </c>
      <c r="C431" s="3">
        <v>20067</v>
      </c>
      <c r="D431" s="3" t="s">
        <v>1889</v>
      </c>
      <c r="E431" s="3">
        <v>10012692868</v>
      </c>
      <c r="F431" s="3" t="s">
        <v>1890</v>
      </c>
      <c r="G431" s="3" t="s">
        <v>1891</v>
      </c>
      <c r="H431" s="3" t="s">
        <v>45</v>
      </c>
      <c r="I431" s="3" t="s">
        <v>45</v>
      </c>
      <c r="J431" s="3" t="s">
        <v>1892</v>
      </c>
      <c r="K431" s="3" t="s">
        <v>31</v>
      </c>
      <c r="L431" s="3" t="s">
        <v>49</v>
      </c>
      <c r="M431" s="3" t="s">
        <v>50</v>
      </c>
      <c r="N431" s="3" t="s">
        <v>48</v>
      </c>
      <c r="O431" s="3"/>
      <c r="P431" s="3"/>
      <c r="Q431" s="3"/>
      <c r="R431" s="3"/>
      <c r="S431" s="3"/>
      <c r="T431" s="3"/>
      <c r="U431" s="3">
        <v>440</v>
      </c>
      <c r="V431" s="4">
        <v>36671</v>
      </c>
      <c r="W431" s="3" t="s">
        <v>33</v>
      </c>
      <c r="X431" s="3" t="s">
        <v>1893</v>
      </c>
    </row>
    <row r="432" spans="1:24" ht="27.95" x14ac:dyDescent="0.3">
      <c r="A432" s="3">
        <v>426</v>
      </c>
      <c r="B432" s="3" t="str">
        <f>"201300045674"</f>
        <v>201300045674</v>
      </c>
      <c r="C432" s="3">
        <v>17930</v>
      </c>
      <c r="D432" s="3" t="s">
        <v>1894</v>
      </c>
      <c r="E432" s="3">
        <v>20447861098</v>
      </c>
      <c r="F432" s="3" t="s">
        <v>1895</v>
      </c>
      <c r="G432" s="3" t="s">
        <v>1896</v>
      </c>
      <c r="H432" s="3" t="s">
        <v>45</v>
      </c>
      <c r="I432" s="3" t="s">
        <v>105</v>
      </c>
      <c r="J432" s="3" t="s">
        <v>144</v>
      </c>
      <c r="K432" s="3" t="s">
        <v>31</v>
      </c>
      <c r="L432" s="3" t="s">
        <v>182</v>
      </c>
      <c r="M432" s="3" t="s">
        <v>181</v>
      </c>
      <c r="N432" s="3"/>
      <c r="O432" s="3"/>
      <c r="P432" s="3"/>
      <c r="Q432" s="3"/>
      <c r="R432" s="3"/>
      <c r="S432" s="3"/>
      <c r="T432" s="3"/>
      <c r="U432" s="3">
        <v>330</v>
      </c>
      <c r="V432" s="4">
        <v>41336</v>
      </c>
      <c r="W432" s="3" t="s">
        <v>33</v>
      </c>
      <c r="X432" s="3" t="s">
        <v>1897</v>
      </c>
    </row>
    <row r="433" spans="1:24" ht="27.95" x14ac:dyDescent="0.3">
      <c r="A433" s="3">
        <v>427</v>
      </c>
      <c r="B433" s="3" t="str">
        <f>"201800181437"</f>
        <v>201800181437</v>
      </c>
      <c r="C433" s="3">
        <v>125888</v>
      </c>
      <c r="D433" s="3" t="s">
        <v>1898</v>
      </c>
      <c r="E433" s="3">
        <v>10296704755</v>
      </c>
      <c r="F433" s="3" t="s">
        <v>1899</v>
      </c>
      <c r="G433" s="3" t="s">
        <v>1900</v>
      </c>
      <c r="H433" s="3" t="s">
        <v>28</v>
      </c>
      <c r="I433" s="3" t="s">
        <v>1203</v>
      </c>
      <c r="J433" s="3" t="s">
        <v>1204</v>
      </c>
      <c r="K433" s="3" t="s">
        <v>31</v>
      </c>
      <c r="L433" s="3" t="s">
        <v>340</v>
      </c>
      <c r="M433" s="3"/>
      <c r="N433" s="3"/>
      <c r="O433" s="3"/>
      <c r="P433" s="3"/>
      <c r="Q433" s="3"/>
      <c r="R433" s="3"/>
      <c r="S433" s="3"/>
      <c r="T433" s="3"/>
      <c r="U433" s="3">
        <v>715</v>
      </c>
      <c r="V433" s="4">
        <v>43406</v>
      </c>
      <c r="W433" s="3" t="s">
        <v>33</v>
      </c>
      <c r="X433" s="3" t="s">
        <v>1899</v>
      </c>
    </row>
    <row r="434" spans="1:24" ht="27.95" x14ac:dyDescent="0.3">
      <c r="A434" s="3">
        <v>428</v>
      </c>
      <c r="B434" s="3" t="str">
        <f>"1456439"</f>
        <v>1456439</v>
      </c>
      <c r="C434" s="3">
        <v>21162</v>
      </c>
      <c r="D434" s="3" t="s">
        <v>1901</v>
      </c>
      <c r="E434" s="3">
        <v>10008865189</v>
      </c>
      <c r="F434" s="3" t="s">
        <v>1902</v>
      </c>
      <c r="G434" s="3" t="s">
        <v>1903</v>
      </c>
      <c r="H434" s="3" t="s">
        <v>225</v>
      </c>
      <c r="I434" s="3" t="s">
        <v>226</v>
      </c>
      <c r="J434" s="3" t="s">
        <v>1853</v>
      </c>
      <c r="K434" s="3" t="s">
        <v>31</v>
      </c>
      <c r="L434" s="3" t="s">
        <v>819</v>
      </c>
      <c r="M434" s="3" t="s">
        <v>1904</v>
      </c>
      <c r="N434" s="3"/>
      <c r="O434" s="3"/>
      <c r="P434" s="3" t="s">
        <v>1905</v>
      </c>
      <c r="Q434" s="3"/>
      <c r="R434" s="3"/>
      <c r="S434" s="3"/>
      <c r="T434" s="3"/>
      <c r="U434" s="3">
        <v>456</v>
      </c>
      <c r="V434" s="4">
        <v>40568</v>
      </c>
      <c r="W434" s="3" t="s">
        <v>33</v>
      </c>
      <c r="X434" s="3" t="s">
        <v>1902</v>
      </c>
    </row>
    <row r="435" spans="1:24" ht="27.95" x14ac:dyDescent="0.3">
      <c r="A435" s="3">
        <v>429</v>
      </c>
      <c r="B435" s="3" t="str">
        <f>"201600097062"</f>
        <v>201600097062</v>
      </c>
      <c r="C435" s="3">
        <v>40168</v>
      </c>
      <c r="D435" s="3" t="s">
        <v>1906</v>
      </c>
      <c r="E435" s="3">
        <v>10001213623</v>
      </c>
      <c r="F435" s="3" t="s">
        <v>1907</v>
      </c>
      <c r="G435" s="3" t="s">
        <v>1908</v>
      </c>
      <c r="H435" s="3" t="s">
        <v>92</v>
      </c>
      <c r="I435" s="3" t="s">
        <v>655</v>
      </c>
      <c r="J435" s="3" t="s">
        <v>656</v>
      </c>
      <c r="K435" s="3" t="s">
        <v>31</v>
      </c>
      <c r="L435" s="3"/>
      <c r="M435" s="3" t="s">
        <v>41</v>
      </c>
      <c r="N435" s="3" t="s">
        <v>50</v>
      </c>
      <c r="O435" s="3" t="s">
        <v>264</v>
      </c>
      <c r="P435" s="3"/>
      <c r="Q435" s="3"/>
      <c r="R435" s="3"/>
      <c r="S435" s="3"/>
      <c r="T435" s="3"/>
      <c r="U435" s="3">
        <v>330</v>
      </c>
      <c r="V435" s="4">
        <v>42587</v>
      </c>
      <c r="W435" s="3" t="s">
        <v>33</v>
      </c>
      <c r="X435" s="3" t="s">
        <v>1907</v>
      </c>
    </row>
    <row r="436" spans="1:24" ht="27.95" x14ac:dyDescent="0.3">
      <c r="A436" s="3">
        <v>430</v>
      </c>
      <c r="B436" s="3" t="str">
        <f>"1430340"</f>
        <v>1430340</v>
      </c>
      <c r="C436" s="3">
        <v>88948</v>
      </c>
      <c r="D436" s="3" t="s">
        <v>1909</v>
      </c>
      <c r="E436" s="3">
        <v>10018026380</v>
      </c>
      <c r="F436" s="3" t="s">
        <v>1910</v>
      </c>
      <c r="G436" s="3" t="s">
        <v>1911</v>
      </c>
      <c r="H436" s="3" t="s">
        <v>571</v>
      </c>
      <c r="I436" s="3" t="s">
        <v>1369</v>
      </c>
      <c r="J436" s="3" t="s">
        <v>1369</v>
      </c>
      <c r="K436" s="3" t="s">
        <v>31</v>
      </c>
      <c r="L436" s="3" t="s">
        <v>819</v>
      </c>
      <c r="M436" s="3" t="s">
        <v>1361</v>
      </c>
      <c r="N436" s="3" t="s">
        <v>1361</v>
      </c>
      <c r="O436" s="3" t="s">
        <v>1361</v>
      </c>
      <c r="P436" s="3" t="s">
        <v>1361</v>
      </c>
      <c r="Q436" s="3" t="s">
        <v>1361</v>
      </c>
      <c r="R436" s="3"/>
      <c r="S436" s="3"/>
      <c r="T436" s="3"/>
      <c r="U436" s="3">
        <v>342</v>
      </c>
      <c r="V436" s="4">
        <v>40477</v>
      </c>
      <c r="W436" s="3" t="s">
        <v>33</v>
      </c>
      <c r="X436" s="3" t="s">
        <v>1910</v>
      </c>
    </row>
    <row r="437" spans="1:24" ht="27.95" x14ac:dyDescent="0.3">
      <c r="A437" s="3">
        <v>431</v>
      </c>
      <c r="B437" s="3" t="str">
        <f>"201300113520"</f>
        <v>201300113520</v>
      </c>
      <c r="C437" s="3">
        <v>20025</v>
      </c>
      <c r="D437" s="3" t="s">
        <v>1912</v>
      </c>
      <c r="E437" s="3">
        <v>10040302277</v>
      </c>
      <c r="F437" s="3" t="s">
        <v>1913</v>
      </c>
      <c r="G437" s="3" t="s">
        <v>1914</v>
      </c>
      <c r="H437" s="3" t="s">
        <v>464</v>
      </c>
      <c r="I437" s="3" t="s">
        <v>464</v>
      </c>
      <c r="J437" s="3" t="s">
        <v>1915</v>
      </c>
      <c r="K437" s="3" t="s">
        <v>31</v>
      </c>
      <c r="L437" s="3" t="s">
        <v>40</v>
      </c>
      <c r="M437" s="3" t="s">
        <v>39</v>
      </c>
      <c r="N437" s="3" t="s">
        <v>41</v>
      </c>
      <c r="O437" s="3"/>
      <c r="P437" s="3"/>
      <c r="Q437" s="3"/>
      <c r="R437" s="3"/>
      <c r="S437" s="3"/>
      <c r="T437" s="3"/>
      <c r="U437" s="3">
        <v>330</v>
      </c>
      <c r="V437" s="4">
        <v>41459</v>
      </c>
      <c r="W437" s="3" t="s">
        <v>33</v>
      </c>
      <c r="X437" s="3" t="s">
        <v>1913</v>
      </c>
    </row>
    <row r="438" spans="1:24" ht="27.95" x14ac:dyDescent="0.3">
      <c r="A438" s="3">
        <v>432</v>
      </c>
      <c r="B438" s="3" t="str">
        <f>"201800121993"</f>
        <v>201800121993</v>
      </c>
      <c r="C438" s="3">
        <v>130344</v>
      </c>
      <c r="D438" s="3" t="s">
        <v>1916</v>
      </c>
      <c r="E438" s="3">
        <v>10016843615</v>
      </c>
      <c r="F438" s="3" t="s">
        <v>1917</v>
      </c>
      <c r="G438" s="3" t="s">
        <v>1918</v>
      </c>
      <c r="H438" s="3" t="s">
        <v>45</v>
      </c>
      <c r="I438" s="3" t="s">
        <v>119</v>
      </c>
      <c r="J438" s="3" t="s">
        <v>1063</v>
      </c>
      <c r="K438" s="3" t="s">
        <v>31</v>
      </c>
      <c r="L438" s="3" t="s">
        <v>340</v>
      </c>
      <c r="M438" s="3"/>
      <c r="N438" s="3"/>
      <c r="O438" s="3"/>
      <c r="P438" s="3"/>
      <c r="Q438" s="3"/>
      <c r="R438" s="3"/>
      <c r="S438" s="3"/>
      <c r="T438" s="3"/>
      <c r="U438" s="3">
        <v>715</v>
      </c>
      <c r="V438" s="4">
        <v>43306</v>
      </c>
      <c r="W438" s="3" t="s">
        <v>33</v>
      </c>
      <c r="X438" s="3" t="s">
        <v>1917</v>
      </c>
    </row>
    <row r="439" spans="1:24" ht="27.95" x14ac:dyDescent="0.3">
      <c r="A439" s="3">
        <v>433</v>
      </c>
      <c r="B439" s="3" t="str">
        <f>"1689578"</f>
        <v>1689578</v>
      </c>
      <c r="C439" s="3">
        <v>45306</v>
      </c>
      <c r="D439" s="3" t="s">
        <v>1919</v>
      </c>
      <c r="E439" s="3">
        <v>10432639709</v>
      </c>
      <c r="F439" s="3" t="s">
        <v>1920</v>
      </c>
      <c r="G439" s="3" t="s">
        <v>1921</v>
      </c>
      <c r="H439" s="3" t="s">
        <v>28</v>
      </c>
      <c r="I439" s="3" t="s">
        <v>55</v>
      </c>
      <c r="J439" s="3" t="s">
        <v>56</v>
      </c>
      <c r="K439" s="3" t="s">
        <v>31</v>
      </c>
      <c r="L439" s="3" t="s">
        <v>197</v>
      </c>
      <c r="M439" s="3" t="s">
        <v>107</v>
      </c>
      <c r="N439" s="3" t="s">
        <v>50</v>
      </c>
      <c r="O439" s="3"/>
      <c r="P439" s="3"/>
      <c r="Q439" s="3"/>
      <c r="R439" s="3"/>
      <c r="S439" s="3"/>
      <c r="T439" s="3"/>
      <c r="U439" s="3">
        <v>342</v>
      </c>
      <c r="V439" s="4">
        <v>39219</v>
      </c>
      <c r="W439" s="3" t="s">
        <v>33</v>
      </c>
      <c r="X439" s="3" t="s">
        <v>1922</v>
      </c>
    </row>
    <row r="440" spans="1:24" ht="27.95" x14ac:dyDescent="0.3">
      <c r="A440" s="3">
        <v>434</v>
      </c>
      <c r="B440" s="3" t="str">
        <f>"201300160239"</f>
        <v>201300160239</v>
      </c>
      <c r="C440" s="3">
        <v>104911</v>
      </c>
      <c r="D440" s="3" t="s">
        <v>1923</v>
      </c>
      <c r="E440" s="3">
        <v>17296034215</v>
      </c>
      <c r="F440" s="3" t="s">
        <v>1924</v>
      </c>
      <c r="G440" s="3" t="s">
        <v>1925</v>
      </c>
      <c r="H440" s="3" t="s">
        <v>92</v>
      </c>
      <c r="I440" s="3" t="s">
        <v>246</v>
      </c>
      <c r="J440" s="3" t="s">
        <v>247</v>
      </c>
      <c r="K440" s="3" t="s">
        <v>31</v>
      </c>
      <c r="L440" s="3" t="s">
        <v>50</v>
      </c>
      <c r="M440" s="3" t="s">
        <v>264</v>
      </c>
      <c r="N440" s="3" t="s">
        <v>41</v>
      </c>
      <c r="O440" s="3"/>
      <c r="P440" s="3"/>
      <c r="Q440" s="3"/>
      <c r="R440" s="3"/>
      <c r="S440" s="3"/>
      <c r="T440" s="3"/>
      <c r="U440" s="3">
        <v>330</v>
      </c>
      <c r="V440" s="4">
        <v>41574</v>
      </c>
      <c r="W440" s="3" t="s">
        <v>33</v>
      </c>
      <c r="X440" s="3" t="s">
        <v>1926</v>
      </c>
    </row>
    <row r="441" spans="1:24" ht="27.95" x14ac:dyDescent="0.3">
      <c r="A441" s="3">
        <v>435</v>
      </c>
      <c r="B441" s="3" t="str">
        <f>"1320699"</f>
        <v>1320699</v>
      </c>
      <c r="C441" s="3">
        <v>21026</v>
      </c>
      <c r="D441" s="3" t="s">
        <v>1927</v>
      </c>
      <c r="E441" s="3">
        <v>10012052508</v>
      </c>
      <c r="F441" s="3" t="s">
        <v>1928</v>
      </c>
      <c r="G441" s="3" t="s">
        <v>1929</v>
      </c>
      <c r="H441" s="3" t="s">
        <v>45</v>
      </c>
      <c r="I441" s="3" t="s">
        <v>45</v>
      </c>
      <c r="J441" s="3" t="s">
        <v>45</v>
      </c>
      <c r="K441" s="3" t="s">
        <v>31</v>
      </c>
      <c r="L441" s="3" t="s">
        <v>50</v>
      </c>
      <c r="M441" s="3" t="s">
        <v>139</v>
      </c>
      <c r="N441" s="3" t="s">
        <v>164</v>
      </c>
      <c r="O441" s="3"/>
      <c r="P441" s="3"/>
      <c r="Q441" s="3"/>
      <c r="R441" s="3"/>
      <c r="S441" s="3"/>
      <c r="T441" s="3"/>
      <c r="U441" s="3">
        <v>440</v>
      </c>
      <c r="V441" s="4">
        <v>37039</v>
      </c>
      <c r="W441" s="3" t="s">
        <v>33</v>
      </c>
      <c r="X441" s="3" t="s">
        <v>1930</v>
      </c>
    </row>
    <row r="442" spans="1:24" ht="27.95" x14ac:dyDescent="0.3">
      <c r="A442" s="3">
        <v>436</v>
      </c>
      <c r="B442" s="3" t="str">
        <f>"201000001450"</f>
        <v>201000001450</v>
      </c>
      <c r="C442" s="3">
        <v>20074</v>
      </c>
      <c r="D442" s="3" t="s">
        <v>1931</v>
      </c>
      <c r="E442" s="3">
        <v>10023927425</v>
      </c>
      <c r="F442" s="3" t="s">
        <v>1932</v>
      </c>
      <c r="G442" s="3" t="s">
        <v>1933</v>
      </c>
      <c r="H442" s="3" t="s">
        <v>45</v>
      </c>
      <c r="I442" s="3" t="s">
        <v>668</v>
      </c>
      <c r="J442" s="3" t="s">
        <v>669</v>
      </c>
      <c r="K442" s="3" t="s">
        <v>31</v>
      </c>
      <c r="L442" s="3" t="s">
        <v>50</v>
      </c>
      <c r="M442" s="3" t="s">
        <v>48</v>
      </c>
      <c r="N442" s="3" t="s">
        <v>49</v>
      </c>
      <c r="O442" s="3"/>
      <c r="P442" s="3"/>
      <c r="Q442" s="3"/>
      <c r="R442" s="3"/>
      <c r="S442" s="3"/>
      <c r="T442" s="3"/>
      <c r="U442" s="3">
        <v>440</v>
      </c>
      <c r="V442" s="4">
        <v>36690</v>
      </c>
      <c r="W442" s="3" t="s">
        <v>33</v>
      </c>
      <c r="X442" s="3" t="s">
        <v>1934</v>
      </c>
    </row>
    <row r="443" spans="1:24" ht="27.95" x14ac:dyDescent="0.3">
      <c r="A443" s="3">
        <v>437</v>
      </c>
      <c r="B443" s="3" t="str">
        <f>"201300045474"</f>
        <v>201300045474</v>
      </c>
      <c r="C443" s="3">
        <v>18854</v>
      </c>
      <c r="D443" s="3" t="s">
        <v>1935</v>
      </c>
      <c r="E443" s="3">
        <v>10014999324</v>
      </c>
      <c r="F443" s="3" t="s">
        <v>1936</v>
      </c>
      <c r="G443" s="3" t="s">
        <v>1937</v>
      </c>
      <c r="H443" s="3" t="s">
        <v>45</v>
      </c>
      <c r="I443" s="3" t="s">
        <v>46</v>
      </c>
      <c r="J443" s="3" t="s">
        <v>163</v>
      </c>
      <c r="K443" s="3" t="s">
        <v>31</v>
      </c>
      <c r="L443" s="3" t="s">
        <v>182</v>
      </c>
      <c r="M443" s="3" t="s">
        <v>181</v>
      </c>
      <c r="N443" s="3"/>
      <c r="O443" s="3"/>
      <c r="P443" s="3"/>
      <c r="Q443" s="3"/>
      <c r="R443" s="3"/>
      <c r="S443" s="3"/>
      <c r="T443" s="3"/>
      <c r="U443" s="3">
        <v>330</v>
      </c>
      <c r="V443" s="4">
        <v>41336</v>
      </c>
      <c r="W443" s="3" t="s">
        <v>33</v>
      </c>
      <c r="X443" s="3" t="s">
        <v>1936</v>
      </c>
    </row>
    <row r="444" spans="1:24" ht="27.95" x14ac:dyDescent="0.3">
      <c r="A444" s="3">
        <v>438</v>
      </c>
      <c r="B444" s="3" t="str">
        <f>"1717599"</f>
        <v>1717599</v>
      </c>
      <c r="C444" s="3">
        <v>35694</v>
      </c>
      <c r="D444" s="3" t="s">
        <v>1938</v>
      </c>
      <c r="E444" s="3">
        <v>10009315336</v>
      </c>
      <c r="F444" s="3" t="s">
        <v>1939</v>
      </c>
      <c r="G444" s="3" t="s">
        <v>1940</v>
      </c>
      <c r="H444" s="3" t="s">
        <v>233</v>
      </c>
      <c r="I444" s="3" t="s">
        <v>1194</v>
      </c>
      <c r="J444" s="3" t="s">
        <v>1941</v>
      </c>
      <c r="K444" s="3" t="s">
        <v>31</v>
      </c>
      <c r="L444" s="3" t="s">
        <v>197</v>
      </c>
      <c r="M444" s="3" t="s">
        <v>50</v>
      </c>
      <c r="N444" s="3" t="s">
        <v>107</v>
      </c>
      <c r="O444" s="3"/>
      <c r="P444" s="3"/>
      <c r="Q444" s="3"/>
      <c r="R444" s="3"/>
      <c r="S444" s="3"/>
      <c r="T444" s="3"/>
      <c r="U444" s="3">
        <v>330</v>
      </c>
      <c r="V444" s="4">
        <v>39259</v>
      </c>
      <c r="W444" s="3" t="s">
        <v>33</v>
      </c>
      <c r="X444" s="3" t="s">
        <v>1942</v>
      </c>
    </row>
    <row r="445" spans="1:24" ht="27.95" x14ac:dyDescent="0.3">
      <c r="A445" s="3">
        <v>439</v>
      </c>
      <c r="B445" s="3" t="str">
        <f>"201000001452"</f>
        <v>201000001452</v>
      </c>
      <c r="C445" s="3">
        <v>20049</v>
      </c>
      <c r="D445" s="3" t="s">
        <v>1943</v>
      </c>
      <c r="E445" s="3">
        <v>10018264205</v>
      </c>
      <c r="F445" s="3" t="s">
        <v>1944</v>
      </c>
      <c r="G445" s="3" t="s">
        <v>1945</v>
      </c>
      <c r="H445" s="3" t="s">
        <v>45</v>
      </c>
      <c r="I445" s="3" t="s">
        <v>214</v>
      </c>
      <c r="J445" s="3" t="s">
        <v>1946</v>
      </c>
      <c r="K445" s="3" t="s">
        <v>31</v>
      </c>
      <c r="L445" s="3" t="s">
        <v>48</v>
      </c>
      <c r="M445" s="3" t="s">
        <v>49</v>
      </c>
      <c r="N445" s="3" t="s">
        <v>50</v>
      </c>
      <c r="O445" s="3"/>
      <c r="P445" s="3"/>
      <c r="Q445" s="3"/>
      <c r="R445" s="3"/>
      <c r="S445" s="3"/>
      <c r="T445" s="3"/>
      <c r="U445" s="3">
        <v>440</v>
      </c>
      <c r="V445" s="4">
        <v>36700</v>
      </c>
      <c r="W445" s="3" t="s">
        <v>33</v>
      </c>
      <c r="X445" s="3" t="s">
        <v>1947</v>
      </c>
    </row>
    <row r="446" spans="1:24" ht="27.95" x14ac:dyDescent="0.3">
      <c r="A446" s="3">
        <v>440</v>
      </c>
      <c r="B446" s="3" t="str">
        <f>"201000001453"</f>
        <v>201000001453</v>
      </c>
      <c r="C446" s="3">
        <v>20060</v>
      </c>
      <c r="D446" s="3" t="s">
        <v>1948</v>
      </c>
      <c r="E446" s="3">
        <v>10024266317</v>
      </c>
      <c r="F446" s="3" t="s">
        <v>1949</v>
      </c>
      <c r="G446" s="3" t="s">
        <v>1950</v>
      </c>
      <c r="H446" s="3" t="s">
        <v>45</v>
      </c>
      <c r="I446" s="3" t="s">
        <v>328</v>
      </c>
      <c r="J446" s="3" t="s">
        <v>329</v>
      </c>
      <c r="K446" s="3" t="s">
        <v>31</v>
      </c>
      <c r="L446" s="3" t="s">
        <v>50</v>
      </c>
      <c r="M446" s="3" t="s">
        <v>48</v>
      </c>
      <c r="N446" s="3" t="s">
        <v>49</v>
      </c>
      <c r="O446" s="3"/>
      <c r="P446" s="3"/>
      <c r="Q446" s="3"/>
      <c r="R446" s="3"/>
      <c r="S446" s="3"/>
      <c r="T446" s="3"/>
      <c r="U446" s="3">
        <v>440</v>
      </c>
      <c r="V446" s="4">
        <v>36805</v>
      </c>
      <c r="W446" s="3" t="s">
        <v>33</v>
      </c>
      <c r="X446" s="3" t="s">
        <v>1951</v>
      </c>
    </row>
    <row r="447" spans="1:24" ht="27.95" x14ac:dyDescent="0.3">
      <c r="A447" s="3">
        <v>441</v>
      </c>
      <c r="B447" s="3" t="str">
        <f>"201000001454"</f>
        <v>201000001454</v>
      </c>
      <c r="C447" s="3">
        <v>20088</v>
      </c>
      <c r="D447" s="3" t="s">
        <v>1952</v>
      </c>
      <c r="E447" s="3">
        <v>10018412298</v>
      </c>
      <c r="F447" s="3" t="s">
        <v>1953</v>
      </c>
      <c r="G447" s="3" t="s">
        <v>1954</v>
      </c>
      <c r="H447" s="3" t="s">
        <v>45</v>
      </c>
      <c r="I447" s="3" t="s">
        <v>440</v>
      </c>
      <c r="J447" s="3" t="s">
        <v>440</v>
      </c>
      <c r="K447" s="3" t="s">
        <v>31</v>
      </c>
      <c r="L447" s="3" t="s">
        <v>50</v>
      </c>
      <c r="M447" s="3" t="s">
        <v>49</v>
      </c>
      <c r="N447" s="3" t="s">
        <v>48</v>
      </c>
      <c r="O447" s="3"/>
      <c r="P447" s="3"/>
      <c r="Q447" s="3"/>
      <c r="R447" s="3"/>
      <c r="S447" s="3"/>
      <c r="T447" s="3"/>
      <c r="U447" s="3">
        <v>440</v>
      </c>
      <c r="V447" s="4">
        <v>36851</v>
      </c>
      <c r="W447" s="3" t="s">
        <v>33</v>
      </c>
      <c r="X447" s="3" t="s">
        <v>1955</v>
      </c>
    </row>
    <row r="448" spans="1:24" ht="27.95" x14ac:dyDescent="0.3">
      <c r="A448" s="3">
        <v>442</v>
      </c>
      <c r="B448" s="3" t="str">
        <f>"201800199187"</f>
        <v>201800199187</v>
      </c>
      <c r="C448" s="3">
        <v>140071</v>
      </c>
      <c r="D448" s="3" t="s">
        <v>1956</v>
      </c>
      <c r="E448" s="3">
        <v>10400519698</v>
      </c>
      <c r="F448" s="3" t="s">
        <v>1957</v>
      </c>
      <c r="G448" s="3" t="s">
        <v>1958</v>
      </c>
      <c r="H448" s="3" t="s">
        <v>28</v>
      </c>
      <c r="I448" s="3" t="s">
        <v>1203</v>
      </c>
      <c r="J448" s="3" t="s">
        <v>1602</v>
      </c>
      <c r="K448" s="3" t="s">
        <v>31</v>
      </c>
      <c r="L448" s="3" t="s">
        <v>347</v>
      </c>
      <c r="M448" s="3"/>
      <c r="N448" s="3"/>
      <c r="O448" s="3"/>
      <c r="P448" s="3"/>
      <c r="Q448" s="3"/>
      <c r="R448" s="3"/>
      <c r="S448" s="3"/>
      <c r="T448" s="3"/>
      <c r="U448" s="3">
        <v>715</v>
      </c>
      <c r="V448" s="4">
        <v>43438</v>
      </c>
      <c r="W448" s="3" t="s">
        <v>33</v>
      </c>
      <c r="X448" s="3" t="s">
        <v>1957</v>
      </c>
    </row>
    <row r="449" spans="1:24" ht="27.95" x14ac:dyDescent="0.3">
      <c r="A449" s="3">
        <v>443</v>
      </c>
      <c r="B449" s="3" t="str">
        <f>"201000001458"</f>
        <v>201000001458</v>
      </c>
      <c r="C449" s="3">
        <v>18805</v>
      </c>
      <c r="D449" s="3" t="s">
        <v>1959</v>
      </c>
      <c r="E449" s="3">
        <v>10012427421</v>
      </c>
      <c r="F449" s="3" t="s">
        <v>1960</v>
      </c>
      <c r="G449" s="3" t="s">
        <v>1961</v>
      </c>
      <c r="H449" s="3" t="s">
        <v>45</v>
      </c>
      <c r="I449" s="3" t="s">
        <v>45</v>
      </c>
      <c r="J449" s="3" t="s">
        <v>169</v>
      </c>
      <c r="K449" s="3" t="s">
        <v>31</v>
      </c>
      <c r="L449" s="3" t="s">
        <v>139</v>
      </c>
      <c r="M449" s="3" t="s">
        <v>164</v>
      </c>
      <c r="N449" s="3" t="s">
        <v>50</v>
      </c>
      <c r="O449" s="3"/>
      <c r="P449" s="3"/>
      <c r="Q449" s="3"/>
      <c r="R449" s="3"/>
      <c r="S449" s="3"/>
      <c r="T449" s="3"/>
      <c r="U449" s="3">
        <v>440</v>
      </c>
      <c r="V449" s="4">
        <v>37039</v>
      </c>
      <c r="W449" s="3" t="s">
        <v>33</v>
      </c>
      <c r="X449" s="3" t="s">
        <v>1962</v>
      </c>
    </row>
    <row r="450" spans="1:24" ht="27.95" x14ac:dyDescent="0.3">
      <c r="A450" s="3">
        <v>444</v>
      </c>
      <c r="B450" s="3" t="str">
        <f>"201000001457"</f>
        <v>201000001457</v>
      </c>
      <c r="C450" s="3">
        <v>17932</v>
      </c>
      <c r="D450" s="3" t="s">
        <v>1963</v>
      </c>
      <c r="E450" s="3">
        <v>10025262277</v>
      </c>
      <c r="F450" s="3" t="s">
        <v>1964</v>
      </c>
      <c r="G450" s="3" t="s">
        <v>1965</v>
      </c>
      <c r="H450" s="3" t="s">
        <v>45</v>
      </c>
      <c r="I450" s="3" t="s">
        <v>668</v>
      </c>
      <c r="J450" s="3" t="s">
        <v>669</v>
      </c>
      <c r="K450" s="3" t="s">
        <v>31</v>
      </c>
      <c r="L450" s="3" t="s">
        <v>48</v>
      </c>
      <c r="M450" s="3" t="s">
        <v>50</v>
      </c>
      <c r="N450" s="3" t="s">
        <v>145</v>
      </c>
      <c r="O450" s="3"/>
      <c r="P450" s="3"/>
      <c r="Q450" s="3"/>
      <c r="R450" s="3"/>
      <c r="S450" s="3"/>
      <c r="T450" s="3"/>
      <c r="U450" s="3">
        <v>330</v>
      </c>
      <c r="V450" s="4">
        <v>36921</v>
      </c>
      <c r="W450" s="3" t="s">
        <v>33</v>
      </c>
      <c r="X450" s="3" t="s">
        <v>1966</v>
      </c>
    </row>
    <row r="451" spans="1:24" ht="27.95" x14ac:dyDescent="0.3">
      <c r="A451" s="3">
        <v>445</v>
      </c>
      <c r="B451" s="3" t="str">
        <f>"201000001455"</f>
        <v>201000001455</v>
      </c>
      <c r="C451" s="3">
        <v>18856</v>
      </c>
      <c r="D451" s="3" t="s">
        <v>1967</v>
      </c>
      <c r="E451" s="3">
        <v>10018731032</v>
      </c>
      <c r="F451" s="3" t="s">
        <v>1968</v>
      </c>
      <c r="G451" s="3" t="s">
        <v>1969</v>
      </c>
      <c r="H451" s="3" t="s">
        <v>45</v>
      </c>
      <c r="I451" s="3" t="s">
        <v>105</v>
      </c>
      <c r="J451" s="3" t="s">
        <v>1970</v>
      </c>
      <c r="K451" s="3" t="s">
        <v>31</v>
      </c>
      <c r="L451" s="3" t="s">
        <v>48</v>
      </c>
      <c r="M451" s="3" t="s">
        <v>145</v>
      </c>
      <c r="N451" s="3" t="s">
        <v>50</v>
      </c>
      <c r="O451" s="3"/>
      <c r="P451" s="3"/>
      <c r="Q451" s="3"/>
      <c r="R451" s="3"/>
      <c r="S451" s="3"/>
      <c r="T451" s="3"/>
      <c r="U451" s="3">
        <v>330</v>
      </c>
      <c r="V451" s="4">
        <v>36921</v>
      </c>
      <c r="W451" s="3" t="s">
        <v>33</v>
      </c>
      <c r="X451" s="3" t="s">
        <v>1971</v>
      </c>
    </row>
    <row r="452" spans="1:24" ht="27.95" x14ac:dyDescent="0.3">
      <c r="A452" s="3">
        <v>446</v>
      </c>
      <c r="B452" s="3" t="str">
        <f>"201200154276"</f>
        <v>201200154276</v>
      </c>
      <c r="C452" s="3">
        <v>93095</v>
      </c>
      <c r="D452" s="3" t="s">
        <v>1972</v>
      </c>
      <c r="E452" s="3">
        <v>10239951321</v>
      </c>
      <c r="F452" s="3" t="s">
        <v>1973</v>
      </c>
      <c r="G452" s="3" t="s">
        <v>1974</v>
      </c>
      <c r="H452" s="3" t="s">
        <v>28</v>
      </c>
      <c r="I452" s="3" t="s">
        <v>1827</v>
      </c>
      <c r="J452" s="3" t="s">
        <v>1975</v>
      </c>
      <c r="K452" s="3" t="s">
        <v>31</v>
      </c>
      <c r="L452" s="3"/>
      <c r="M452" s="3"/>
      <c r="N452" s="3"/>
      <c r="O452" s="3"/>
      <c r="P452" s="3"/>
      <c r="Q452" s="3"/>
      <c r="R452" s="3"/>
      <c r="S452" s="3"/>
      <c r="T452" s="3"/>
      <c r="U452" s="3">
        <v>715</v>
      </c>
      <c r="V452" s="4">
        <v>41129</v>
      </c>
      <c r="W452" s="3" t="s">
        <v>33</v>
      </c>
      <c r="X452" s="3" t="s">
        <v>1976</v>
      </c>
    </row>
    <row r="453" spans="1:24" ht="27.95" x14ac:dyDescent="0.3">
      <c r="A453" s="3">
        <v>447</v>
      </c>
      <c r="B453" s="3" t="str">
        <f>"201800031958"</f>
        <v>201800031958</v>
      </c>
      <c r="C453" s="3">
        <v>133255</v>
      </c>
      <c r="D453" s="3" t="s">
        <v>1977</v>
      </c>
      <c r="E453" s="3">
        <v>10451701032</v>
      </c>
      <c r="F453" s="3" t="s">
        <v>1978</v>
      </c>
      <c r="G453" s="3" t="s">
        <v>1979</v>
      </c>
      <c r="H453" s="3" t="s">
        <v>73</v>
      </c>
      <c r="I453" s="3" t="s">
        <v>674</v>
      </c>
      <c r="J453" s="3" t="s">
        <v>675</v>
      </c>
      <c r="K453" s="3" t="s">
        <v>31</v>
      </c>
      <c r="L453" s="3" t="s">
        <v>1416</v>
      </c>
      <c r="M453" s="3"/>
      <c r="N453" s="3"/>
      <c r="O453" s="3"/>
      <c r="P453" s="3"/>
      <c r="Q453" s="3"/>
      <c r="R453" s="3"/>
      <c r="S453" s="3"/>
      <c r="T453" s="3"/>
      <c r="U453" s="3">
        <v>330</v>
      </c>
      <c r="V453" s="4">
        <v>43157</v>
      </c>
      <c r="W453" s="3" t="s">
        <v>33</v>
      </c>
      <c r="X453" s="3" t="s">
        <v>1978</v>
      </c>
    </row>
    <row r="454" spans="1:24" ht="27.95" x14ac:dyDescent="0.3">
      <c r="A454" s="3">
        <v>448</v>
      </c>
      <c r="B454" s="3" t="str">
        <f>"201900097481"</f>
        <v>201900097481</v>
      </c>
      <c r="C454" s="3">
        <v>144760</v>
      </c>
      <c r="D454" s="3" t="s">
        <v>1980</v>
      </c>
      <c r="E454" s="3">
        <v>10476963953</v>
      </c>
      <c r="F454" s="3" t="s">
        <v>1981</v>
      </c>
      <c r="G454" s="3" t="s">
        <v>1982</v>
      </c>
      <c r="H454" s="3" t="s">
        <v>514</v>
      </c>
      <c r="I454" s="3" t="s">
        <v>515</v>
      </c>
      <c r="J454" s="3" t="s">
        <v>1983</v>
      </c>
      <c r="K454" s="3" t="s">
        <v>31</v>
      </c>
      <c r="L454" s="3" t="s">
        <v>693</v>
      </c>
      <c r="M454" s="3"/>
      <c r="N454" s="3"/>
      <c r="O454" s="3"/>
      <c r="P454" s="3"/>
      <c r="Q454" s="3"/>
      <c r="R454" s="3"/>
      <c r="S454" s="3"/>
      <c r="T454" s="3"/>
      <c r="U454" s="3">
        <v>55</v>
      </c>
      <c r="V454" s="4">
        <v>43642</v>
      </c>
      <c r="W454" s="3" t="s">
        <v>33</v>
      </c>
      <c r="X454" s="3" t="s">
        <v>1981</v>
      </c>
    </row>
    <row r="455" spans="1:24" ht="27.95" x14ac:dyDescent="0.3">
      <c r="A455" s="3">
        <v>449</v>
      </c>
      <c r="B455" s="3" t="str">
        <f>"201000001459"</f>
        <v>201000001459</v>
      </c>
      <c r="C455" s="3">
        <v>18802</v>
      </c>
      <c r="D455" s="3" t="s">
        <v>1984</v>
      </c>
      <c r="E455" s="3">
        <v>10018539905</v>
      </c>
      <c r="F455" s="3" t="s">
        <v>1985</v>
      </c>
      <c r="G455" s="3" t="s">
        <v>1986</v>
      </c>
      <c r="H455" s="3" t="s">
        <v>45</v>
      </c>
      <c r="I455" s="3" t="s">
        <v>440</v>
      </c>
      <c r="J455" s="3" t="s">
        <v>440</v>
      </c>
      <c r="K455" s="3" t="s">
        <v>31</v>
      </c>
      <c r="L455" s="3" t="s">
        <v>48</v>
      </c>
      <c r="M455" s="3" t="s">
        <v>50</v>
      </c>
      <c r="N455" s="3" t="s">
        <v>49</v>
      </c>
      <c r="O455" s="3"/>
      <c r="P455" s="3"/>
      <c r="Q455" s="3"/>
      <c r="R455" s="3"/>
      <c r="S455" s="3"/>
      <c r="T455" s="3"/>
      <c r="U455" s="3">
        <v>440</v>
      </c>
      <c r="V455" s="4">
        <v>37243</v>
      </c>
      <c r="W455" s="3" t="s">
        <v>33</v>
      </c>
      <c r="X455" s="3" t="s">
        <v>1987</v>
      </c>
    </row>
    <row r="456" spans="1:24" ht="27.95" x14ac:dyDescent="0.3">
      <c r="A456" s="3">
        <v>450</v>
      </c>
      <c r="B456" s="3" t="str">
        <f>"201700131954"</f>
        <v>201700131954</v>
      </c>
      <c r="C456" s="3">
        <v>131235</v>
      </c>
      <c r="D456" s="3" t="s">
        <v>1988</v>
      </c>
      <c r="E456" s="3">
        <v>10470667899</v>
      </c>
      <c r="F456" s="3" t="s">
        <v>1989</v>
      </c>
      <c r="G456" s="3" t="s">
        <v>1990</v>
      </c>
      <c r="H456" s="3" t="s">
        <v>37</v>
      </c>
      <c r="I456" s="3" t="s">
        <v>1991</v>
      </c>
      <c r="J456" s="3" t="s">
        <v>1992</v>
      </c>
      <c r="K456" s="3" t="s">
        <v>31</v>
      </c>
      <c r="L456" s="3" t="s">
        <v>1416</v>
      </c>
      <c r="M456" s="3"/>
      <c r="N456" s="3"/>
      <c r="O456" s="3"/>
      <c r="P456" s="3"/>
      <c r="Q456" s="3"/>
      <c r="R456" s="3"/>
      <c r="S456" s="3"/>
      <c r="T456" s="3"/>
      <c r="U456" s="3">
        <v>330</v>
      </c>
      <c r="V456" s="4">
        <v>42973</v>
      </c>
      <c r="W456" s="3" t="s">
        <v>33</v>
      </c>
      <c r="X456" s="3" t="s">
        <v>1989</v>
      </c>
    </row>
    <row r="457" spans="1:24" ht="27.95" x14ac:dyDescent="0.3">
      <c r="A457" s="3">
        <v>451</v>
      </c>
      <c r="B457" s="3" t="str">
        <f>"202000076470"</f>
        <v>202000076470</v>
      </c>
      <c r="C457" s="3">
        <v>138679</v>
      </c>
      <c r="D457" s="3" t="s">
        <v>1993</v>
      </c>
      <c r="E457" s="3">
        <v>10718224263</v>
      </c>
      <c r="F457" s="3" t="s">
        <v>1994</v>
      </c>
      <c r="G457" s="3" t="s">
        <v>1995</v>
      </c>
      <c r="H457" s="3" t="s">
        <v>233</v>
      </c>
      <c r="I457" s="3" t="s">
        <v>637</v>
      </c>
      <c r="J457" s="3" t="s">
        <v>1996</v>
      </c>
      <c r="K457" s="3" t="s">
        <v>31</v>
      </c>
      <c r="L457" s="3" t="s">
        <v>1997</v>
      </c>
      <c r="M457" s="3"/>
      <c r="N457" s="3"/>
      <c r="O457" s="3"/>
      <c r="P457" s="3"/>
      <c r="Q457" s="3"/>
      <c r="R457" s="3"/>
      <c r="S457" s="3"/>
      <c r="T457" s="3"/>
      <c r="U457" s="3">
        <v>330</v>
      </c>
      <c r="V457" s="4">
        <v>44020</v>
      </c>
      <c r="W457" s="3" t="s">
        <v>33</v>
      </c>
      <c r="X457" s="3" t="s">
        <v>1994</v>
      </c>
    </row>
    <row r="458" spans="1:24" ht="27.95" x14ac:dyDescent="0.3">
      <c r="A458" s="3">
        <v>452</v>
      </c>
      <c r="B458" s="3" t="str">
        <f>"201400041627"</f>
        <v>201400041627</v>
      </c>
      <c r="C458" s="3">
        <v>108789</v>
      </c>
      <c r="D458" s="3" t="s">
        <v>1998</v>
      </c>
      <c r="E458" s="3">
        <v>10465237886</v>
      </c>
      <c r="F458" s="3" t="s">
        <v>1999</v>
      </c>
      <c r="G458" s="3" t="s">
        <v>2000</v>
      </c>
      <c r="H458" s="3" t="s">
        <v>233</v>
      </c>
      <c r="I458" s="3" t="s">
        <v>1067</v>
      </c>
      <c r="J458" s="3" t="s">
        <v>2001</v>
      </c>
      <c r="K458" s="3" t="s">
        <v>31</v>
      </c>
      <c r="L458" s="3" t="s">
        <v>506</v>
      </c>
      <c r="M458" s="3"/>
      <c r="N458" s="3"/>
      <c r="O458" s="3"/>
      <c r="P458" s="3"/>
      <c r="Q458" s="3"/>
      <c r="R458" s="3"/>
      <c r="S458" s="3"/>
      <c r="T458" s="3"/>
      <c r="U458" s="3">
        <v>330</v>
      </c>
      <c r="V458" s="4">
        <v>41735</v>
      </c>
      <c r="W458" s="3" t="s">
        <v>33</v>
      </c>
      <c r="X458" s="3" t="s">
        <v>1999</v>
      </c>
    </row>
    <row r="459" spans="1:24" ht="27.95" x14ac:dyDescent="0.3">
      <c r="A459" s="3">
        <v>453</v>
      </c>
      <c r="B459" s="3" t="str">
        <f>"201400127065"</f>
        <v>201400127065</v>
      </c>
      <c r="C459" s="3">
        <v>111818</v>
      </c>
      <c r="D459" s="3" t="s">
        <v>2002</v>
      </c>
      <c r="E459" s="3">
        <v>10333276246</v>
      </c>
      <c r="F459" s="3" t="s">
        <v>2003</v>
      </c>
      <c r="G459" s="3" t="s">
        <v>2004</v>
      </c>
      <c r="H459" s="3" t="s">
        <v>514</v>
      </c>
      <c r="I459" s="3" t="s">
        <v>515</v>
      </c>
      <c r="J459" s="3" t="s">
        <v>515</v>
      </c>
      <c r="K459" s="3" t="s">
        <v>31</v>
      </c>
      <c r="L459" s="3" t="s">
        <v>1221</v>
      </c>
      <c r="M459" s="3"/>
      <c r="N459" s="3"/>
      <c r="O459" s="3"/>
      <c r="P459" s="3"/>
      <c r="Q459" s="3"/>
      <c r="R459" s="3"/>
      <c r="S459" s="3"/>
      <c r="T459" s="3"/>
      <c r="U459" s="3">
        <v>330</v>
      </c>
      <c r="V459" s="4">
        <v>41924</v>
      </c>
      <c r="W459" s="3" t="s">
        <v>33</v>
      </c>
      <c r="X459" s="3" t="s">
        <v>2005</v>
      </c>
    </row>
    <row r="460" spans="1:24" ht="27.95" x14ac:dyDescent="0.3">
      <c r="A460" s="3">
        <v>454</v>
      </c>
      <c r="B460" s="3" t="str">
        <f>"201800084638"</f>
        <v>201800084638</v>
      </c>
      <c r="C460" s="3">
        <v>136310</v>
      </c>
      <c r="D460" s="3" t="s">
        <v>2006</v>
      </c>
      <c r="E460" s="3">
        <v>10103705172</v>
      </c>
      <c r="F460" s="3" t="s">
        <v>2007</v>
      </c>
      <c r="G460" s="3" t="s">
        <v>2008</v>
      </c>
      <c r="H460" s="3" t="s">
        <v>233</v>
      </c>
      <c r="I460" s="3" t="s">
        <v>234</v>
      </c>
      <c r="J460" s="3" t="s">
        <v>1502</v>
      </c>
      <c r="K460" s="3" t="s">
        <v>31</v>
      </c>
      <c r="L460" s="3" t="s">
        <v>95</v>
      </c>
      <c r="M460" s="3" t="s">
        <v>237</v>
      </c>
      <c r="N460" s="3" t="s">
        <v>50</v>
      </c>
      <c r="O460" s="3"/>
      <c r="P460" s="3"/>
      <c r="Q460" s="3"/>
      <c r="R460" s="3"/>
      <c r="S460" s="3"/>
      <c r="T460" s="3"/>
      <c r="U460" s="3">
        <v>715</v>
      </c>
      <c r="V460" s="4">
        <v>43244</v>
      </c>
      <c r="W460" s="3" t="s">
        <v>33</v>
      </c>
      <c r="X460" s="3" t="s">
        <v>2007</v>
      </c>
    </row>
    <row r="461" spans="1:24" ht="27.95" x14ac:dyDescent="0.3">
      <c r="A461" s="3">
        <v>455</v>
      </c>
      <c r="B461" s="3" t="str">
        <f>"202000062290"</f>
        <v>202000062290</v>
      </c>
      <c r="C461" s="3">
        <v>131467</v>
      </c>
      <c r="D461" s="3" t="s">
        <v>2009</v>
      </c>
      <c r="E461" s="3">
        <v>10427128224</v>
      </c>
      <c r="F461" s="3" t="s">
        <v>2010</v>
      </c>
      <c r="G461" s="3" t="s">
        <v>2011</v>
      </c>
      <c r="H461" s="3" t="s">
        <v>28</v>
      </c>
      <c r="I461" s="3" t="s">
        <v>29</v>
      </c>
      <c r="J461" s="3" t="s">
        <v>130</v>
      </c>
      <c r="K461" s="3" t="s">
        <v>31</v>
      </c>
      <c r="L461" s="3" t="s">
        <v>806</v>
      </c>
      <c r="M461" s="3"/>
      <c r="N461" s="3"/>
      <c r="O461" s="3"/>
      <c r="P461" s="3"/>
      <c r="Q461" s="3"/>
      <c r="R461" s="3"/>
      <c r="S461" s="3"/>
      <c r="T461" s="3"/>
      <c r="U461" s="3">
        <v>330</v>
      </c>
      <c r="V461" s="4">
        <v>43985</v>
      </c>
      <c r="W461" s="4">
        <v>44350</v>
      </c>
      <c r="X461" s="3" t="s">
        <v>2010</v>
      </c>
    </row>
    <row r="462" spans="1:24" ht="27.95" x14ac:dyDescent="0.3">
      <c r="A462" s="3">
        <v>456</v>
      </c>
      <c r="B462" s="3" t="str">
        <f>"201300037755"</f>
        <v>201300037755</v>
      </c>
      <c r="C462" s="3">
        <v>41053</v>
      </c>
      <c r="D462" s="3" t="s">
        <v>2012</v>
      </c>
      <c r="E462" s="3">
        <v>10211099980</v>
      </c>
      <c r="F462" s="3" t="s">
        <v>2013</v>
      </c>
      <c r="G462" s="3" t="s">
        <v>2014</v>
      </c>
      <c r="H462" s="3" t="s">
        <v>37</v>
      </c>
      <c r="I462" s="3" t="s">
        <v>528</v>
      </c>
      <c r="J462" s="3" t="s">
        <v>2015</v>
      </c>
      <c r="K462" s="3" t="s">
        <v>31</v>
      </c>
      <c r="L462" s="3" t="s">
        <v>39</v>
      </c>
      <c r="M462" s="3" t="s">
        <v>40</v>
      </c>
      <c r="N462" s="3" t="s">
        <v>41</v>
      </c>
      <c r="O462" s="3"/>
      <c r="P462" s="3"/>
      <c r="Q462" s="3"/>
      <c r="R462" s="3"/>
      <c r="S462" s="3"/>
      <c r="T462" s="3"/>
      <c r="U462" s="3">
        <v>330</v>
      </c>
      <c r="V462" s="4">
        <v>41324</v>
      </c>
      <c r="W462" s="3" t="s">
        <v>33</v>
      </c>
      <c r="X462" s="3" t="s">
        <v>2013</v>
      </c>
    </row>
    <row r="463" spans="1:24" ht="27.95" x14ac:dyDescent="0.3">
      <c r="A463" s="3">
        <v>457</v>
      </c>
      <c r="B463" s="3" t="str">
        <f>"201300056327"</f>
        <v>201300056327</v>
      </c>
      <c r="C463" s="3">
        <v>38515</v>
      </c>
      <c r="D463" s="3" t="s">
        <v>2016</v>
      </c>
      <c r="E463" s="3">
        <v>10001134936</v>
      </c>
      <c r="F463" s="3" t="s">
        <v>2017</v>
      </c>
      <c r="G463" s="3" t="s">
        <v>2018</v>
      </c>
      <c r="H463" s="3" t="s">
        <v>92</v>
      </c>
      <c r="I463" s="3" t="s">
        <v>655</v>
      </c>
      <c r="J463" s="3" t="s">
        <v>2019</v>
      </c>
      <c r="K463" s="3" t="s">
        <v>31</v>
      </c>
      <c r="L463" s="3" t="s">
        <v>41</v>
      </c>
      <c r="M463" s="3" t="s">
        <v>87</v>
      </c>
      <c r="N463" s="3"/>
      <c r="O463" s="3"/>
      <c r="P463" s="3"/>
      <c r="Q463" s="3"/>
      <c r="R463" s="3"/>
      <c r="S463" s="3"/>
      <c r="T463" s="3"/>
      <c r="U463" s="3">
        <v>330</v>
      </c>
      <c r="V463" s="4">
        <v>41358</v>
      </c>
      <c r="W463" s="3" t="s">
        <v>33</v>
      </c>
      <c r="X463" s="3" t="s">
        <v>2017</v>
      </c>
    </row>
    <row r="464" spans="1:24" ht="27.95" x14ac:dyDescent="0.3">
      <c r="A464" s="3">
        <v>458</v>
      </c>
      <c r="B464" s="3" t="str">
        <f>"201000001464"</f>
        <v>201000001464</v>
      </c>
      <c r="C464" s="3">
        <v>17923</v>
      </c>
      <c r="D464" s="3" t="s">
        <v>2020</v>
      </c>
      <c r="E464" s="3">
        <v>10017801703</v>
      </c>
      <c r="F464" s="3" t="s">
        <v>2021</v>
      </c>
      <c r="G464" s="3" t="s">
        <v>2022</v>
      </c>
      <c r="H464" s="3" t="s">
        <v>45</v>
      </c>
      <c r="I464" s="3" t="s">
        <v>214</v>
      </c>
      <c r="J464" s="3" t="s">
        <v>215</v>
      </c>
      <c r="K464" s="3" t="s">
        <v>31</v>
      </c>
      <c r="L464" s="3" t="s">
        <v>49</v>
      </c>
      <c r="M464" s="3" t="s">
        <v>48</v>
      </c>
      <c r="N464" s="3" t="s">
        <v>50</v>
      </c>
      <c r="O464" s="3"/>
      <c r="P464" s="3"/>
      <c r="Q464" s="3"/>
      <c r="R464" s="3"/>
      <c r="S464" s="3"/>
      <c r="T464" s="3"/>
      <c r="U464" s="3">
        <v>440</v>
      </c>
      <c r="V464" s="4">
        <v>37319</v>
      </c>
      <c r="W464" s="3" t="s">
        <v>33</v>
      </c>
      <c r="X464" s="3" t="s">
        <v>2023</v>
      </c>
    </row>
    <row r="465" spans="1:24" ht="27.95" x14ac:dyDescent="0.3">
      <c r="A465" s="3">
        <v>459</v>
      </c>
      <c r="B465" s="3" t="str">
        <f>"201000001462"</f>
        <v>201000001462</v>
      </c>
      <c r="C465" s="3">
        <v>39586</v>
      </c>
      <c r="D465" s="3" t="s">
        <v>2024</v>
      </c>
      <c r="E465" s="3">
        <v>10013106776</v>
      </c>
      <c r="F465" s="3" t="s">
        <v>2025</v>
      </c>
      <c r="G465" s="3" t="s">
        <v>2026</v>
      </c>
      <c r="H465" s="3" t="s">
        <v>45</v>
      </c>
      <c r="I465" s="3" t="s">
        <v>45</v>
      </c>
      <c r="J465" s="3" t="s">
        <v>994</v>
      </c>
      <c r="K465" s="3" t="s">
        <v>31</v>
      </c>
      <c r="L465" s="3" t="s">
        <v>139</v>
      </c>
      <c r="M465" s="3" t="s">
        <v>164</v>
      </c>
      <c r="N465" s="3" t="s">
        <v>50</v>
      </c>
      <c r="O465" s="3"/>
      <c r="P465" s="3"/>
      <c r="Q465" s="3"/>
      <c r="R465" s="3"/>
      <c r="S465" s="3"/>
      <c r="T465" s="3"/>
      <c r="U465" s="3">
        <v>1100</v>
      </c>
      <c r="V465" s="4">
        <v>37243</v>
      </c>
      <c r="W465" s="3" t="s">
        <v>33</v>
      </c>
      <c r="X465" s="3" t="s">
        <v>2027</v>
      </c>
    </row>
    <row r="466" spans="1:24" ht="27.95" x14ac:dyDescent="0.3">
      <c r="A466" s="3">
        <v>460</v>
      </c>
      <c r="B466" s="3" t="str">
        <f>"201300053043"</f>
        <v>201300053043</v>
      </c>
      <c r="C466" s="3">
        <v>21025</v>
      </c>
      <c r="D466" s="3" t="s">
        <v>2028</v>
      </c>
      <c r="E466" s="3">
        <v>10015362885</v>
      </c>
      <c r="F466" s="3" t="s">
        <v>2029</v>
      </c>
      <c r="G466" s="3" t="s">
        <v>2030</v>
      </c>
      <c r="H466" s="3" t="s">
        <v>45</v>
      </c>
      <c r="I466" s="3" t="s">
        <v>46</v>
      </c>
      <c r="J466" s="3" t="s">
        <v>2031</v>
      </c>
      <c r="K466" s="3" t="s">
        <v>31</v>
      </c>
      <c r="L466" s="3" t="s">
        <v>181</v>
      </c>
      <c r="M466" s="3" t="s">
        <v>182</v>
      </c>
      <c r="N466" s="3"/>
      <c r="O466" s="3"/>
      <c r="P466" s="3"/>
      <c r="Q466" s="3"/>
      <c r="R466" s="3"/>
      <c r="S466" s="3"/>
      <c r="T466" s="3"/>
      <c r="U466" s="3">
        <v>330</v>
      </c>
      <c r="V466" s="4">
        <v>41357</v>
      </c>
      <c r="W466" s="3" t="s">
        <v>33</v>
      </c>
      <c r="X466" s="3" t="s">
        <v>2029</v>
      </c>
    </row>
    <row r="467" spans="1:24" ht="27.95" x14ac:dyDescent="0.3">
      <c r="A467" s="3">
        <v>461</v>
      </c>
      <c r="B467" s="3" t="str">
        <f>"1487682"</f>
        <v>1487682</v>
      </c>
      <c r="C467" s="3">
        <v>92581</v>
      </c>
      <c r="D467" s="3" t="s">
        <v>2032</v>
      </c>
      <c r="E467" s="3">
        <v>10806413530</v>
      </c>
      <c r="F467" s="3" t="s">
        <v>2033</v>
      </c>
      <c r="G467" s="3" t="s">
        <v>2034</v>
      </c>
      <c r="H467" s="3" t="s">
        <v>225</v>
      </c>
      <c r="I467" s="3" t="s">
        <v>1174</v>
      </c>
      <c r="J467" s="3" t="s">
        <v>1174</v>
      </c>
      <c r="K467" s="3" t="s">
        <v>31</v>
      </c>
      <c r="L467" s="3"/>
      <c r="M467" s="3"/>
      <c r="N467" s="3" t="s">
        <v>1420</v>
      </c>
      <c r="O467" s="3"/>
      <c r="P467" s="3"/>
      <c r="Q467" s="3"/>
      <c r="R467" s="3" t="s">
        <v>1421</v>
      </c>
      <c r="S467" s="3"/>
      <c r="T467" s="3"/>
      <c r="U467" s="3">
        <v>570</v>
      </c>
      <c r="V467" s="4">
        <v>40714</v>
      </c>
      <c r="W467" s="3" t="s">
        <v>33</v>
      </c>
      <c r="X467" s="3" t="s">
        <v>2033</v>
      </c>
    </row>
    <row r="468" spans="1:24" ht="27.95" x14ac:dyDescent="0.3">
      <c r="A468" s="3">
        <v>462</v>
      </c>
      <c r="B468" s="3" t="str">
        <f>"201800000286"</f>
        <v>201800000286</v>
      </c>
      <c r="C468" s="3">
        <v>94475</v>
      </c>
      <c r="D468" s="3" t="s">
        <v>2035</v>
      </c>
      <c r="E468" s="3">
        <v>10251842227</v>
      </c>
      <c r="F468" s="3" t="s">
        <v>2036</v>
      </c>
      <c r="G468" s="3" t="s">
        <v>2037</v>
      </c>
      <c r="H468" s="3" t="s">
        <v>28</v>
      </c>
      <c r="I468" s="3" t="s">
        <v>203</v>
      </c>
      <c r="J468" s="3" t="s">
        <v>1460</v>
      </c>
      <c r="K468" s="3" t="s">
        <v>31</v>
      </c>
      <c r="L468" s="3" t="s">
        <v>2038</v>
      </c>
      <c r="M468" s="3" t="s">
        <v>2038</v>
      </c>
      <c r="N468" s="3" t="s">
        <v>2039</v>
      </c>
      <c r="O468" s="3" t="s">
        <v>2040</v>
      </c>
      <c r="P468" s="3" t="s">
        <v>2040</v>
      </c>
      <c r="Q468" s="3" t="s">
        <v>2040</v>
      </c>
      <c r="R468" s="3" t="s">
        <v>2040</v>
      </c>
      <c r="S468" s="3" t="s">
        <v>2040</v>
      </c>
      <c r="T468" s="3" t="s">
        <v>2040</v>
      </c>
      <c r="U468" s="3">
        <v>715</v>
      </c>
      <c r="V468" s="4">
        <v>43105</v>
      </c>
      <c r="W468" s="3" t="s">
        <v>33</v>
      </c>
      <c r="X468" s="3" t="s">
        <v>2036</v>
      </c>
    </row>
    <row r="469" spans="1:24" ht="27.95" x14ac:dyDescent="0.3">
      <c r="A469" s="3">
        <v>463</v>
      </c>
      <c r="B469" s="3" t="str">
        <f>"201000001463"</f>
        <v>201000001463</v>
      </c>
      <c r="C469" s="3">
        <v>18506</v>
      </c>
      <c r="D469" s="3" t="s">
        <v>2041</v>
      </c>
      <c r="E469" s="3">
        <v>10335932892</v>
      </c>
      <c r="F469" s="3" t="s">
        <v>2042</v>
      </c>
      <c r="G469" s="3" t="s">
        <v>2043</v>
      </c>
      <c r="H469" s="3" t="s">
        <v>225</v>
      </c>
      <c r="I469" s="3" t="s">
        <v>268</v>
      </c>
      <c r="J469" s="3" t="s">
        <v>1809</v>
      </c>
      <c r="K469" s="3" t="s">
        <v>31</v>
      </c>
      <c r="L469" s="3" t="s">
        <v>49</v>
      </c>
      <c r="M469" s="3" t="s">
        <v>108</v>
      </c>
      <c r="N469" s="3" t="s">
        <v>87</v>
      </c>
      <c r="O469" s="3"/>
      <c r="P469" s="3"/>
      <c r="Q469" s="3"/>
      <c r="R469" s="3"/>
      <c r="S469" s="3"/>
      <c r="T469" s="3"/>
      <c r="U469" s="3">
        <v>399</v>
      </c>
      <c r="V469" s="4">
        <v>36592</v>
      </c>
      <c r="W469" s="3" t="s">
        <v>33</v>
      </c>
      <c r="X469" s="3" t="s">
        <v>2044</v>
      </c>
    </row>
    <row r="470" spans="1:24" ht="27.95" x14ac:dyDescent="0.3">
      <c r="A470" s="3">
        <v>464</v>
      </c>
      <c r="B470" s="3" t="str">
        <f>"1499911"</f>
        <v>1499911</v>
      </c>
      <c r="C470" s="3">
        <v>18287</v>
      </c>
      <c r="D470" s="3" t="s">
        <v>2045</v>
      </c>
      <c r="E470" s="3">
        <v>20406372147</v>
      </c>
      <c r="F470" s="3" t="s">
        <v>2046</v>
      </c>
      <c r="G470" s="3" t="s">
        <v>2047</v>
      </c>
      <c r="H470" s="3" t="s">
        <v>45</v>
      </c>
      <c r="I470" s="3" t="s">
        <v>328</v>
      </c>
      <c r="J470" s="3" t="s">
        <v>329</v>
      </c>
      <c r="K470" s="3" t="s">
        <v>31</v>
      </c>
      <c r="L470" s="3" t="s">
        <v>1351</v>
      </c>
      <c r="M470" s="3" t="s">
        <v>1351</v>
      </c>
      <c r="N470" s="3" t="s">
        <v>1351</v>
      </c>
      <c r="O470" s="3" t="s">
        <v>428</v>
      </c>
      <c r="P470" s="3" t="s">
        <v>428</v>
      </c>
      <c r="Q470" s="3"/>
      <c r="R470" s="3"/>
      <c r="S470" s="3"/>
      <c r="T470" s="3"/>
      <c r="U470" s="3">
        <v>440</v>
      </c>
      <c r="V470" s="4">
        <v>40786</v>
      </c>
      <c r="W470" s="3" t="s">
        <v>33</v>
      </c>
      <c r="X470" s="3" t="s">
        <v>2048</v>
      </c>
    </row>
    <row r="471" spans="1:24" ht="27.95" x14ac:dyDescent="0.3">
      <c r="A471" s="3">
        <v>465</v>
      </c>
      <c r="B471" s="3" t="str">
        <f>"201600101143"</f>
        <v>201600101143</v>
      </c>
      <c r="C471" s="3">
        <v>21201</v>
      </c>
      <c r="D471" s="3" t="s">
        <v>2049</v>
      </c>
      <c r="E471" s="3">
        <v>20406241476</v>
      </c>
      <c r="F471" s="3" t="s">
        <v>2050</v>
      </c>
      <c r="G471" s="3" t="s">
        <v>2051</v>
      </c>
      <c r="H471" s="3" t="s">
        <v>45</v>
      </c>
      <c r="I471" s="3" t="s">
        <v>214</v>
      </c>
      <c r="J471" s="3" t="s">
        <v>321</v>
      </c>
      <c r="K471" s="3" t="s">
        <v>31</v>
      </c>
      <c r="L471" s="3" t="s">
        <v>2052</v>
      </c>
      <c r="M471" s="3" t="s">
        <v>39</v>
      </c>
      <c r="N471" s="3"/>
      <c r="O471" s="3"/>
      <c r="P471" s="3"/>
      <c r="Q471" s="3"/>
      <c r="R471" s="3"/>
      <c r="S471" s="3"/>
      <c r="T471" s="3"/>
      <c r="U471" s="3">
        <v>330</v>
      </c>
      <c r="V471" s="4">
        <v>42569</v>
      </c>
      <c r="W471" s="3" t="s">
        <v>33</v>
      </c>
      <c r="X471" s="3" t="s">
        <v>2053</v>
      </c>
    </row>
    <row r="472" spans="1:24" ht="27.95" x14ac:dyDescent="0.3">
      <c r="A472" s="3">
        <v>466</v>
      </c>
      <c r="B472" s="3" t="str">
        <f>"1897206"</f>
        <v>1897206</v>
      </c>
      <c r="C472" s="3">
        <v>83304</v>
      </c>
      <c r="D472" s="3" t="s">
        <v>2054</v>
      </c>
      <c r="E472" s="3">
        <v>10461118921</v>
      </c>
      <c r="F472" s="3" t="s">
        <v>2055</v>
      </c>
      <c r="G472" s="3" t="s">
        <v>2056</v>
      </c>
      <c r="H472" s="3" t="s">
        <v>92</v>
      </c>
      <c r="I472" s="3" t="s">
        <v>113</v>
      </c>
      <c r="J472" s="3" t="s">
        <v>1274</v>
      </c>
      <c r="K472" s="3" t="s">
        <v>31</v>
      </c>
      <c r="L472" s="3" t="s">
        <v>87</v>
      </c>
      <c r="M472" s="3" t="s">
        <v>2057</v>
      </c>
      <c r="N472" s="3" t="s">
        <v>264</v>
      </c>
      <c r="O472" s="3"/>
      <c r="P472" s="3"/>
      <c r="Q472" s="3"/>
      <c r="R472" s="3"/>
      <c r="S472" s="3"/>
      <c r="T472" s="3"/>
      <c r="U472" s="3">
        <v>741</v>
      </c>
      <c r="V472" s="4">
        <v>40029</v>
      </c>
      <c r="W472" s="3" t="s">
        <v>33</v>
      </c>
      <c r="X472" s="3" t="s">
        <v>2058</v>
      </c>
    </row>
    <row r="473" spans="1:24" ht="41.95" x14ac:dyDescent="0.3">
      <c r="A473" s="3">
        <v>467</v>
      </c>
      <c r="B473" s="3" t="str">
        <f>"201900018778"</f>
        <v>201900018778</v>
      </c>
      <c r="C473" s="3">
        <v>141147</v>
      </c>
      <c r="D473" s="3" t="s">
        <v>2059</v>
      </c>
      <c r="E473" s="3">
        <v>10712829759</v>
      </c>
      <c r="F473" s="3" t="s">
        <v>2060</v>
      </c>
      <c r="G473" s="3" t="s">
        <v>2061</v>
      </c>
      <c r="H473" s="3" t="s">
        <v>571</v>
      </c>
      <c r="I473" s="3" t="s">
        <v>1369</v>
      </c>
      <c r="J473" s="3" t="s">
        <v>1369</v>
      </c>
      <c r="K473" s="3" t="s">
        <v>31</v>
      </c>
      <c r="L473" s="3" t="s">
        <v>1396</v>
      </c>
      <c r="M473" s="3" t="s">
        <v>39</v>
      </c>
      <c r="N473" s="3" t="s">
        <v>65</v>
      </c>
      <c r="O473" s="3"/>
      <c r="P473" s="3"/>
      <c r="Q473" s="3"/>
      <c r="R473" s="3"/>
      <c r="S473" s="3"/>
      <c r="T473" s="3"/>
      <c r="U473" s="3">
        <v>550</v>
      </c>
      <c r="V473" s="4">
        <v>43500</v>
      </c>
      <c r="W473" s="3" t="s">
        <v>33</v>
      </c>
      <c r="X473" s="3" t="s">
        <v>2060</v>
      </c>
    </row>
    <row r="474" spans="1:24" ht="27.95" x14ac:dyDescent="0.3">
      <c r="A474" s="3">
        <v>468</v>
      </c>
      <c r="B474" s="3" t="str">
        <f>"201800179442"</f>
        <v>201800179442</v>
      </c>
      <c r="C474" s="3">
        <v>139364</v>
      </c>
      <c r="D474" s="3" t="s">
        <v>2062</v>
      </c>
      <c r="E474" s="3">
        <v>20600173228</v>
      </c>
      <c r="F474" s="3" t="s">
        <v>2063</v>
      </c>
      <c r="G474" s="3" t="s">
        <v>2064</v>
      </c>
      <c r="H474" s="3" t="s">
        <v>464</v>
      </c>
      <c r="I474" s="3" t="s">
        <v>483</v>
      </c>
      <c r="J474" s="3" t="s">
        <v>2065</v>
      </c>
      <c r="K474" s="3" t="s">
        <v>31</v>
      </c>
      <c r="L474" s="3" t="s">
        <v>57</v>
      </c>
      <c r="M474" s="3"/>
      <c r="N474" s="3"/>
      <c r="O474" s="3"/>
      <c r="P474" s="3"/>
      <c r="Q474" s="3"/>
      <c r="R474" s="3"/>
      <c r="S474" s="3"/>
      <c r="T474" s="3"/>
      <c r="U474" s="3">
        <v>715</v>
      </c>
      <c r="V474" s="4">
        <v>43410</v>
      </c>
      <c r="W474" s="3" t="s">
        <v>33</v>
      </c>
      <c r="X474" s="3" t="s">
        <v>2066</v>
      </c>
    </row>
    <row r="475" spans="1:24" ht="27.95" x14ac:dyDescent="0.3">
      <c r="A475" s="3">
        <v>469</v>
      </c>
      <c r="B475" s="3" t="str">
        <f>"1797958"</f>
        <v>1797958</v>
      </c>
      <c r="C475" s="3">
        <v>43954</v>
      </c>
      <c r="D475" s="3" t="s">
        <v>2067</v>
      </c>
      <c r="E475" s="3">
        <v>10224988210</v>
      </c>
      <c r="F475" s="3" t="s">
        <v>2068</v>
      </c>
      <c r="G475" s="3" t="s">
        <v>2069</v>
      </c>
      <c r="H475" s="3" t="s">
        <v>73</v>
      </c>
      <c r="I475" s="3" t="s">
        <v>1560</v>
      </c>
      <c r="J475" s="3" t="s">
        <v>700</v>
      </c>
      <c r="K475" s="3" t="s">
        <v>31</v>
      </c>
      <c r="L475" s="3" t="s">
        <v>1036</v>
      </c>
      <c r="M475" s="3" t="s">
        <v>269</v>
      </c>
      <c r="N475" s="3"/>
      <c r="O475" s="3"/>
      <c r="P475" s="3"/>
      <c r="Q475" s="3"/>
      <c r="R475" s="3"/>
      <c r="S475" s="3"/>
      <c r="T475" s="3"/>
      <c r="U475" s="3">
        <v>741</v>
      </c>
      <c r="V475" s="4">
        <v>39602</v>
      </c>
      <c r="W475" s="3" t="s">
        <v>33</v>
      </c>
      <c r="X475" s="3" t="s">
        <v>2070</v>
      </c>
    </row>
    <row r="476" spans="1:24" ht="27.95" x14ac:dyDescent="0.3">
      <c r="A476" s="3">
        <v>470</v>
      </c>
      <c r="B476" s="3" t="str">
        <f>"202000040829"</f>
        <v>202000040829</v>
      </c>
      <c r="C476" s="3">
        <v>141799</v>
      </c>
      <c r="D476" s="3" t="s">
        <v>2071</v>
      </c>
      <c r="E476" s="3">
        <v>10448035412</v>
      </c>
      <c r="F476" s="3" t="s">
        <v>2072</v>
      </c>
      <c r="G476" s="3" t="s">
        <v>2073</v>
      </c>
      <c r="H476" s="3" t="s">
        <v>84</v>
      </c>
      <c r="I476" s="3" t="s">
        <v>308</v>
      </c>
      <c r="J476" s="3" t="s">
        <v>309</v>
      </c>
      <c r="K476" s="3" t="s">
        <v>31</v>
      </c>
      <c r="L476" s="3" t="s">
        <v>1466</v>
      </c>
      <c r="M476" s="3"/>
      <c r="N476" s="3"/>
      <c r="O476" s="3"/>
      <c r="P476" s="3"/>
      <c r="Q476" s="3"/>
      <c r="R476" s="3"/>
      <c r="S476" s="3"/>
      <c r="T476" s="3"/>
      <c r="U476" s="3">
        <v>715</v>
      </c>
      <c r="V476" s="4">
        <v>43899</v>
      </c>
      <c r="W476" s="3" t="s">
        <v>33</v>
      </c>
      <c r="X476" s="3" t="s">
        <v>2072</v>
      </c>
    </row>
    <row r="477" spans="1:24" ht="27.95" x14ac:dyDescent="0.3">
      <c r="A477" s="3">
        <v>471</v>
      </c>
      <c r="B477" s="3" t="str">
        <f>"201800093167"</f>
        <v>201800093167</v>
      </c>
      <c r="C477" s="3">
        <v>136699</v>
      </c>
      <c r="D477" s="3" t="s">
        <v>2074</v>
      </c>
      <c r="E477" s="3">
        <v>10404117268</v>
      </c>
      <c r="F477" s="3" t="s">
        <v>2075</v>
      </c>
      <c r="G477" s="3" t="s">
        <v>2076</v>
      </c>
      <c r="H477" s="3" t="s">
        <v>225</v>
      </c>
      <c r="I477" s="3" t="s">
        <v>1174</v>
      </c>
      <c r="J477" s="3" t="s">
        <v>2077</v>
      </c>
      <c r="K477" s="3" t="s">
        <v>31</v>
      </c>
      <c r="L477" s="3" t="s">
        <v>50</v>
      </c>
      <c r="M477" s="3" t="s">
        <v>237</v>
      </c>
      <c r="N477" s="3" t="s">
        <v>41</v>
      </c>
      <c r="O477" s="3"/>
      <c r="P477" s="3"/>
      <c r="Q477" s="3"/>
      <c r="R477" s="3"/>
      <c r="S477" s="3"/>
      <c r="T477" s="3"/>
      <c r="U477" s="3">
        <v>385</v>
      </c>
      <c r="V477" s="4">
        <v>43285</v>
      </c>
      <c r="W477" s="3" t="s">
        <v>33</v>
      </c>
      <c r="X477" s="3" t="s">
        <v>2075</v>
      </c>
    </row>
    <row r="478" spans="1:24" ht="27.95" x14ac:dyDescent="0.3">
      <c r="A478" s="3">
        <v>472</v>
      </c>
      <c r="B478" s="3" t="str">
        <f>"201800174037"</f>
        <v>201800174037</v>
      </c>
      <c r="C478" s="3">
        <v>131864</v>
      </c>
      <c r="D478" s="3" t="s">
        <v>2078</v>
      </c>
      <c r="E478" s="3">
        <v>10402737641</v>
      </c>
      <c r="F478" s="3" t="s">
        <v>2079</v>
      </c>
      <c r="G478" s="3" t="s">
        <v>2080</v>
      </c>
      <c r="H478" s="3" t="s">
        <v>233</v>
      </c>
      <c r="I478" s="3" t="s">
        <v>637</v>
      </c>
      <c r="J478" s="3" t="s">
        <v>1996</v>
      </c>
      <c r="K478" s="3" t="s">
        <v>31</v>
      </c>
      <c r="L478" s="3" t="s">
        <v>41</v>
      </c>
      <c r="M478" s="3" t="s">
        <v>50</v>
      </c>
      <c r="N478" s="3" t="s">
        <v>264</v>
      </c>
      <c r="O478" s="3"/>
      <c r="P478" s="3"/>
      <c r="Q478" s="3"/>
      <c r="R478" s="3"/>
      <c r="S478" s="3"/>
      <c r="T478" s="3"/>
      <c r="U478" s="3">
        <v>330</v>
      </c>
      <c r="V478" s="4">
        <v>43395</v>
      </c>
      <c r="W478" s="3" t="s">
        <v>33</v>
      </c>
      <c r="X478" s="3" t="s">
        <v>2079</v>
      </c>
    </row>
    <row r="479" spans="1:24" ht="27.95" x14ac:dyDescent="0.3">
      <c r="A479" s="3">
        <v>473</v>
      </c>
      <c r="B479" s="3" t="str">
        <f>"1271255"</f>
        <v>1271255</v>
      </c>
      <c r="C479" s="3">
        <v>17900</v>
      </c>
      <c r="D479" s="3" t="s">
        <v>2081</v>
      </c>
      <c r="E479" s="3">
        <v>10013025679</v>
      </c>
      <c r="F479" s="3" t="s">
        <v>2082</v>
      </c>
      <c r="G479" s="3" t="s">
        <v>2083</v>
      </c>
      <c r="H479" s="3" t="s">
        <v>45</v>
      </c>
      <c r="I479" s="3" t="s">
        <v>45</v>
      </c>
      <c r="J479" s="3" t="s">
        <v>169</v>
      </c>
      <c r="K479" s="3" t="s">
        <v>31</v>
      </c>
      <c r="L479" s="3" t="s">
        <v>50</v>
      </c>
      <c r="M479" s="3" t="s">
        <v>48</v>
      </c>
      <c r="N479" s="3" t="s">
        <v>49</v>
      </c>
      <c r="O479" s="3"/>
      <c r="P479" s="3"/>
      <c r="Q479" s="3"/>
      <c r="R479" s="3"/>
      <c r="S479" s="3"/>
      <c r="T479" s="3"/>
      <c r="U479" s="3">
        <v>456</v>
      </c>
      <c r="V479" s="4">
        <v>36531</v>
      </c>
      <c r="W479" s="3" t="s">
        <v>33</v>
      </c>
      <c r="X479" s="3" t="s">
        <v>2084</v>
      </c>
    </row>
    <row r="480" spans="1:24" ht="27.95" x14ac:dyDescent="0.3">
      <c r="A480" s="3">
        <v>474</v>
      </c>
      <c r="B480" s="3" t="str">
        <f>"201200065375"</f>
        <v>201200065375</v>
      </c>
      <c r="C480" s="3">
        <v>96833</v>
      </c>
      <c r="D480" s="3" t="s">
        <v>2085</v>
      </c>
      <c r="E480" s="3">
        <v>10022759766</v>
      </c>
      <c r="F480" s="3" t="s">
        <v>2086</v>
      </c>
      <c r="G480" s="3" t="s">
        <v>2087</v>
      </c>
      <c r="H480" s="3" t="s">
        <v>45</v>
      </c>
      <c r="I480" s="3" t="s">
        <v>352</v>
      </c>
      <c r="J480" s="3" t="s">
        <v>2088</v>
      </c>
      <c r="K480" s="3" t="s">
        <v>31</v>
      </c>
      <c r="L480" s="3" t="s">
        <v>2089</v>
      </c>
      <c r="M480" s="3" t="s">
        <v>1466</v>
      </c>
      <c r="N480" s="3"/>
      <c r="O480" s="3"/>
      <c r="P480" s="3"/>
      <c r="Q480" s="3"/>
      <c r="R480" s="3"/>
      <c r="S480" s="3"/>
      <c r="T480" s="3"/>
      <c r="U480" s="3">
        <v>330</v>
      </c>
      <c r="V480" s="4">
        <v>41042</v>
      </c>
      <c r="W480" s="3" t="s">
        <v>33</v>
      </c>
      <c r="X480" s="3" t="s">
        <v>2086</v>
      </c>
    </row>
    <row r="481" spans="1:24" ht="27.95" x14ac:dyDescent="0.3">
      <c r="A481" s="3">
        <v>475</v>
      </c>
      <c r="B481" s="3" t="str">
        <f>"201700194834"</f>
        <v>201700194834</v>
      </c>
      <c r="C481" s="3">
        <v>132950</v>
      </c>
      <c r="D481" s="3" t="s">
        <v>2090</v>
      </c>
      <c r="E481" s="3">
        <v>10406552077</v>
      </c>
      <c r="F481" s="3" t="s">
        <v>2091</v>
      </c>
      <c r="G481" s="3" t="s">
        <v>2092</v>
      </c>
      <c r="H481" s="3" t="s">
        <v>92</v>
      </c>
      <c r="I481" s="3" t="s">
        <v>655</v>
      </c>
      <c r="J481" s="3" t="s">
        <v>956</v>
      </c>
      <c r="K481" s="3" t="s">
        <v>31</v>
      </c>
      <c r="L481" s="3" t="s">
        <v>95</v>
      </c>
      <c r="M481" s="3" t="s">
        <v>94</v>
      </c>
      <c r="N481" s="3"/>
      <c r="O481" s="3"/>
      <c r="P481" s="3"/>
      <c r="Q481" s="3"/>
      <c r="R481" s="3"/>
      <c r="S481" s="3"/>
      <c r="T481" s="3"/>
      <c r="U481" s="3">
        <v>715</v>
      </c>
      <c r="V481" s="4">
        <v>43059</v>
      </c>
      <c r="W481" s="3" t="s">
        <v>33</v>
      </c>
      <c r="X481" s="3" t="s">
        <v>2091</v>
      </c>
    </row>
    <row r="482" spans="1:24" ht="27.95" x14ac:dyDescent="0.3">
      <c r="A482" s="3">
        <v>476</v>
      </c>
      <c r="B482" s="3" t="str">
        <f>"201800206433"</f>
        <v>201800206433</v>
      </c>
      <c r="C482" s="3">
        <v>95811</v>
      </c>
      <c r="D482" s="3" t="s">
        <v>2093</v>
      </c>
      <c r="E482" s="3">
        <v>10205422990</v>
      </c>
      <c r="F482" s="3" t="s">
        <v>2094</v>
      </c>
      <c r="G482" s="3" t="s">
        <v>2095</v>
      </c>
      <c r="H482" s="3" t="s">
        <v>37</v>
      </c>
      <c r="I482" s="3" t="s">
        <v>1991</v>
      </c>
      <c r="J482" s="3" t="s">
        <v>2096</v>
      </c>
      <c r="K482" s="3" t="s">
        <v>31</v>
      </c>
      <c r="L482" s="3"/>
      <c r="M482" s="3" t="s">
        <v>236</v>
      </c>
      <c r="N482" s="3" t="s">
        <v>39</v>
      </c>
      <c r="O482" s="3" t="s">
        <v>65</v>
      </c>
      <c r="P482" s="3"/>
      <c r="Q482" s="3"/>
      <c r="R482" s="3"/>
      <c r="S482" s="3"/>
      <c r="T482" s="3"/>
      <c r="U482" s="3">
        <v>715</v>
      </c>
      <c r="V482" s="4">
        <v>43468</v>
      </c>
      <c r="W482" s="3" t="s">
        <v>33</v>
      </c>
      <c r="X482" s="3" t="s">
        <v>2097</v>
      </c>
    </row>
    <row r="483" spans="1:24" ht="27.95" x14ac:dyDescent="0.3">
      <c r="A483" s="3">
        <v>477</v>
      </c>
      <c r="B483" s="3" t="str">
        <f>"1271110"</f>
        <v>1271110</v>
      </c>
      <c r="C483" s="3">
        <v>17911</v>
      </c>
      <c r="D483" s="3" t="s">
        <v>2098</v>
      </c>
      <c r="E483" s="3">
        <v>10226415314</v>
      </c>
      <c r="F483" s="3" t="s">
        <v>2099</v>
      </c>
      <c r="G483" s="3" t="s">
        <v>2100</v>
      </c>
      <c r="H483" s="3" t="s">
        <v>73</v>
      </c>
      <c r="I483" s="3" t="s">
        <v>1560</v>
      </c>
      <c r="J483" s="3" t="s">
        <v>700</v>
      </c>
      <c r="K483" s="3" t="s">
        <v>31</v>
      </c>
      <c r="L483" s="3" t="s">
        <v>49</v>
      </c>
      <c r="M483" s="3" t="s">
        <v>87</v>
      </c>
      <c r="N483" s="3"/>
      <c r="O483" s="3"/>
      <c r="P483" s="3"/>
      <c r="Q483" s="3"/>
      <c r="R483" s="3"/>
      <c r="S483" s="3"/>
      <c r="T483" s="3"/>
      <c r="U483" s="3">
        <v>385</v>
      </c>
      <c r="V483" s="4">
        <v>36572</v>
      </c>
      <c r="W483" s="3" t="s">
        <v>33</v>
      </c>
      <c r="X483" s="3" t="s">
        <v>2101</v>
      </c>
    </row>
    <row r="484" spans="1:24" ht="27.95" x14ac:dyDescent="0.3">
      <c r="A484" s="3">
        <v>478</v>
      </c>
      <c r="B484" s="3" t="str">
        <f>"201900181381"</f>
        <v>201900181381</v>
      </c>
      <c r="C484" s="3">
        <v>147561</v>
      </c>
      <c r="D484" s="3" t="s">
        <v>2102</v>
      </c>
      <c r="E484" s="3">
        <v>10011441217</v>
      </c>
      <c r="F484" s="3" t="s">
        <v>1219</v>
      </c>
      <c r="G484" s="3" t="s">
        <v>2103</v>
      </c>
      <c r="H484" s="3" t="s">
        <v>233</v>
      </c>
      <c r="I484" s="3" t="s">
        <v>262</v>
      </c>
      <c r="J484" s="3" t="s">
        <v>397</v>
      </c>
      <c r="K484" s="3" t="s">
        <v>31</v>
      </c>
      <c r="L484" s="3" t="s">
        <v>50</v>
      </c>
      <c r="M484" s="3" t="s">
        <v>237</v>
      </c>
      <c r="N484" s="3" t="s">
        <v>1221</v>
      </c>
      <c r="O484" s="3"/>
      <c r="P484" s="3"/>
      <c r="Q484" s="3"/>
      <c r="R484" s="3"/>
      <c r="S484" s="3"/>
      <c r="T484" s="3"/>
      <c r="U484" s="3">
        <v>0</v>
      </c>
      <c r="V484" s="4">
        <v>43778</v>
      </c>
      <c r="W484" s="3" t="s">
        <v>33</v>
      </c>
      <c r="X484" s="3" t="s">
        <v>1219</v>
      </c>
    </row>
    <row r="485" spans="1:24" ht="27.95" x14ac:dyDescent="0.3">
      <c r="A485" s="3">
        <v>479</v>
      </c>
      <c r="B485" s="3" t="str">
        <f>"1423036"</f>
        <v>1423036</v>
      </c>
      <c r="C485" s="3">
        <v>35184</v>
      </c>
      <c r="D485" s="3" t="s">
        <v>2104</v>
      </c>
      <c r="E485" s="3">
        <v>10056182913</v>
      </c>
      <c r="F485" s="3" t="s">
        <v>2105</v>
      </c>
      <c r="G485" s="3" t="s">
        <v>2106</v>
      </c>
      <c r="H485" s="3" t="s">
        <v>84</v>
      </c>
      <c r="I485" s="3" t="s">
        <v>85</v>
      </c>
      <c r="J485" s="3" t="s">
        <v>422</v>
      </c>
      <c r="K485" s="3" t="s">
        <v>31</v>
      </c>
      <c r="L485" s="3" t="s">
        <v>734</v>
      </c>
      <c r="M485" s="3" t="s">
        <v>733</v>
      </c>
      <c r="N485" s="3" t="s">
        <v>50</v>
      </c>
      <c r="O485" s="3"/>
      <c r="P485" s="3"/>
      <c r="Q485" s="3"/>
      <c r="R485" s="3"/>
      <c r="S485" s="3"/>
      <c r="T485" s="3"/>
      <c r="U485" s="3">
        <v>741</v>
      </c>
      <c r="V485" s="4">
        <v>37827</v>
      </c>
      <c r="W485" s="3" t="s">
        <v>33</v>
      </c>
      <c r="X485" s="3" t="s">
        <v>2107</v>
      </c>
    </row>
    <row r="486" spans="1:24" ht="27.95" x14ac:dyDescent="0.3">
      <c r="A486" s="3">
        <v>480</v>
      </c>
      <c r="B486" s="3" t="str">
        <f>"201900128687"</f>
        <v>201900128687</v>
      </c>
      <c r="C486" s="3">
        <v>145737</v>
      </c>
      <c r="D486" s="3" t="s">
        <v>2108</v>
      </c>
      <c r="E486" s="3">
        <v>10190360551</v>
      </c>
      <c r="F486" s="3" t="s">
        <v>2109</v>
      </c>
      <c r="G486" s="3" t="s">
        <v>2110</v>
      </c>
      <c r="H486" s="3" t="s">
        <v>498</v>
      </c>
      <c r="I486" s="3" t="s">
        <v>1230</v>
      </c>
      <c r="J486" s="3" t="s">
        <v>1230</v>
      </c>
      <c r="K486" s="3" t="s">
        <v>31</v>
      </c>
      <c r="L486" s="3" t="s">
        <v>57</v>
      </c>
      <c r="M486" s="3"/>
      <c r="N486" s="3"/>
      <c r="O486" s="3"/>
      <c r="P486" s="3"/>
      <c r="Q486" s="3"/>
      <c r="R486" s="3"/>
      <c r="S486" s="3"/>
      <c r="T486" s="3"/>
      <c r="U486" s="3">
        <v>715</v>
      </c>
      <c r="V486" s="4">
        <v>43685</v>
      </c>
      <c r="W486" s="3" t="s">
        <v>33</v>
      </c>
      <c r="X486" s="3" t="s">
        <v>2109</v>
      </c>
    </row>
    <row r="487" spans="1:24" ht="27.95" x14ac:dyDescent="0.3">
      <c r="A487" s="3">
        <v>481</v>
      </c>
      <c r="B487" s="3" t="str">
        <f>"201600093997"</f>
        <v>201600093997</v>
      </c>
      <c r="C487" s="3">
        <v>120812</v>
      </c>
      <c r="D487" s="3" t="s">
        <v>2111</v>
      </c>
      <c r="E487" s="3">
        <v>20600308476</v>
      </c>
      <c r="F487" s="3" t="s">
        <v>2112</v>
      </c>
      <c r="G487" s="3" t="s">
        <v>2113</v>
      </c>
      <c r="H487" s="3" t="s">
        <v>571</v>
      </c>
      <c r="I487" s="3" t="s">
        <v>571</v>
      </c>
      <c r="J487" s="3" t="s">
        <v>1212</v>
      </c>
      <c r="K487" s="3" t="s">
        <v>31</v>
      </c>
      <c r="L487" s="3" t="s">
        <v>2114</v>
      </c>
      <c r="M487" s="3"/>
      <c r="N487" s="3"/>
      <c r="O487" s="3"/>
      <c r="P487" s="3"/>
      <c r="Q487" s="3"/>
      <c r="R487" s="3"/>
      <c r="S487" s="3"/>
      <c r="T487" s="3"/>
      <c r="U487" s="3">
        <v>330</v>
      </c>
      <c r="V487" s="4">
        <v>42582</v>
      </c>
      <c r="W487" s="3" t="s">
        <v>33</v>
      </c>
      <c r="X487" s="3" t="s">
        <v>2115</v>
      </c>
    </row>
    <row r="488" spans="1:24" ht="27.95" x14ac:dyDescent="0.3">
      <c r="A488" s="3">
        <v>482</v>
      </c>
      <c r="B488" s="3" t="str">
        <f>"201300149831"</f>
        <v>201300149831</v>
      </c>
      <c r="C488" s="3">
        <v>105335</v>
      </c>
      <c r="D488" s="3" t="s">
        <v>2116</v>
      </c>
      <c r="E488" s="3">
        <v>20568510381</v>
      </c>
      <c r="F488" s="3" t="s">
        <v>2117</v>
      </c>
      <c r="G488" s="3" t="s">
        <v>2118</v>
      </c>
      <c r="H488" s="3" t="s">
        <v>61</v>
      </c>
      <c r="I488" s="3" t="s">
        <v>61</v>
      </c>
      <c r="J488" s="3" t="s">
        <v>528</v>
      </c>
      <c r="K488" s="3" t="s">
        <v>31</v>
      </c>
      <c r="L488" s="3"/>
      <c r="M488" s="3"/>
      <c r="N488" s="3" t="s">
        <v>41</v>
      </c>
      <c r="O488" s="3" t="s">
        <v>65</v>
      </c>
      <c r="P488" s="3"/>
      <c r="Q488" s="3"/>
      <c r="R488" s="3"/>
      <c r="S488" s="3"/>
      <c r="T488" s="3"/>
      <c r="U488" s="3">
        <v>330</v>
      </c>
      <c r="V488" s="4">
        <v>41548</v>
      </c>
      <c r="W488" s="3" t="s">
        <v>33</v>
      </c>
      <c r="X488" s="3" t="s">
        <v>2119</v>
      </c>
    </row>
    <row r="489" spans="1:24" ht="27.95" x14ac:dyDescent="0.3">
      <c r="A489" s="3">
        <v>483</v>
      </c>
      <c r="B489" s="3" t="str">
        <f>"1572382"</f>
        <v>1572382</v>
      </c>
      <c r="C489" s="3">
        <v>40526</v>
      </c>
      <c r="D489" s="3" t="s">
        <v>2120</v>
      </c>
      <c r="E489" s="3">
        <v>10056260418</v>
      </c>
      <c r="F489" s="3" t="s">
        <v>2121</v>
      </c>
      <c r="G489" s="3" t="s">
        <v>2122</v>
      </c>
      <c r="H489" s="3" t="s">
        <v>84</v>
      </c>
      <c r="I489" s="3" t="s">
        <v>85</v>
      </c>
      <c r="J489" s="3" t="s">
        <v>241</v>
      </c>
      <c r="K489" s="3" t="s">
        <v>31</v>
      </c>
      <c r="L489" s="3" t="s">
        <v>108</v>
      </c>
      <c r="M489" s="3" t="s">
        <v>50</v>
      </c>
      <c r="N489" s="3" t="s">
        <v>548</v>
      </c>
      <c r="O489" s="3"/>
      <c r="P489" s="3"/>
      <c r="Q489" s="3"/>
      <c r="R489" s="3"/>
      <c r="S489" s="3"/>
      <c r="T489" s="3"/>
      <c r="U489" s="3">
        <v>342</v>
      </c>
      <c r="V489" s="4">
        <v>38450</v>
      </c>
      <c r="W489" s="3" t="s">
        <v>33</v>
      </c>
      <c r="X489" s="3" t="s">
        <v>2123</v>
      </c>
    </row>
    <row r="490" spans="1:24" ht="27.95" x14ac:dyDescent="0.3">
      <c r="A490" s="3">
        <v>484</v>
      </c>
      <c r="B490" s="3" t="str">
        <f>"201200184733"</f>
        <v>201200184733</v>
      </c>
      <c r="C490" s="3">
        <v>38683</v>
      </c>
      <c r="D490" s="3" t="s">
        <v>2124</v>
      </c>
      <c r="E490" s="3">
        <v>10805862578</v>
      </c>
      <c r="F490" s="3" t="s">
        <v>2125</v>
      </c>
      <c r="G490" s="3" t="s">
        <v>2126</v>
      </c>
      <c r="H490" s="3" t="s">
        <v>233</v>
      </c>
      <c r="I490" s="3" t="s">
        <v>262</v>
      </c>
      <c r="J490" s="3" t="s">
        <v>2127</v>
      </c>
      <c r="K490" s="3" t="s">
        <v>31</v>
      </c>
      <c r="L490" s="3" t="s">
        <v>41</v>
      </c>
      <c r="M490" s="3" t="s">
        <v>50</v>
      </c>
      <c r="N490" s="3" t="s">
        <v>264</v>
      </c>
      <c r="O490" s="3"/>
      <c r="P490" s="3"/>
      <c r="Q490" s="3"/>
      <c r="R490" s="3"/>
      <c r="S490" s="3"/>
      <c r="T490" s="3"/>
      <c r="U490" s="3">
        <v>330</v>
      </c>
      <c r="V490" s="4">
        <v>41192</v>
      </c>
      <c r="W490" s="3" t="s">
        <v>33</v>
      </c>
      <c r="X490" s="3" t="s">
        <v>2125</v>
      </c>
    </row>
    <row r="491" spans="1:24" ht="27.95" x14ac:dyDescent="0.3">
      <c r="A491" s="3">
        <v>485</v>
      </c>
      <c r="B491" s="3" t="str">
        <f>"201400012511"</f>
        <v>201400012511</v>
      </c>
      <c r="C491" s="3">
        <v>107764</v>
      </c>
      <c r="D491" s="3" t="s">
        <v>2128</v>
      </c>
      <c r="E491" s="3">
        <v>10443929024</v>
      </c>
      <c r="F491" s="3" t="s">
        <v>2129</v>
      </c>
      <c r="G491" s="3" t="s">
        <v>2130</v>
      </c>
      <c r="H491" s="3" t="s">
        <v>73</v>
      </c>
      <c r="I491" s="3" t="s">
        <v>416</v>
      </c>
      <c r="J491" s="3" t="s">
        <v>976</v>
      </c>
      <c r="K491" s="3" t="s">
        <v>31</v>
      </c>
      <c r="L491" s="3" t="s">
        <v>41</v>
      </c>
      <c r="M491" s="3" t="s">
        <v>40</v>
      </c>
      <c r="N491" s="3" t="s">
        <v>39</v>
      </c>
      <c r="O491" s="3"/>
      <c r="P491" s="3"/>
      <c r="Q491" s="3"/>
      <c r="R491" s="3"/>
      <c r="S491" s="3"/>
      <c r="T491" s="3"/>
      <c r="U491" s="3">
        <v>330</v>
      </c>
      <c r="V491" s="4">
        <v>41689</v>
      </c>
      <c r="W491" s="3" t="s">
        <v>33</v>
      </c>
      <c r="X491" s="3" t="s">
        <v>2129</v>
      </c>
    </row>
    <row r="492" spans="1:24" ht="27.95" x14ac:dyDescent="0.3">
      <c r="A492" s="3">
        <v>486</v>
      </c>
      <c r="B492" s="3" t="str">
        <f>"201900200722"</f>
        <v>201900200722</v>
      </c>
      <c r="C492" s="3">
        <v>109500</v>
      </c>
      <c r="D492" s="3" t="s">
        <v>2131</v>
      </c>
      <c r="E492" s="3">
        <v>10228949251</v>
      </c>
      <c r="F492" s="3" t="s">
        <v>2132</v>
      </c>
      <c r="G492" s="3" t="s">
        <v>2133</v>
      </c>
      <c r="H492" s="3" t="s">
        <v>73</v>
      </c>
      <c r="I492" s="3" t="s">
        <v>674</v>
      </c>
      <c r="J492" s="3" t="s">
        <v>688</v>
      </c>
      <c r="K492" s="3" t="s">
        <v>31</v>
      </c>
      <c r="L492" s="3" t="s">
        <v>739</v>
      </c>
      <c r="M492" s="3"/>
      <c r="N492" s="3"/>
      <c r="O492" s="3"/>
      <c r="P492" s="3"/>
      <c r="Q492" s="3"/>
      <c r="R492" s="3"/>
      <c r="S492" s="3"/>
      <c r="T492" s="3"/>
      <c r="U492" s="3">
        <v>715</v>
      </c>
      <c r="V492" s="4">
        <v>43810</v>
      </c>
      <c r="W492" s="3" t="s">
        <v>33</v>
      </c>
      <c r="X492" s="3" t="s">
        <v>2132</v>
      </c>
    </row>
    <row r="493" spans="1:24" ht="41.95" x14ac:dyDescent="0.3">
      <c r="A493" s="3">
        <v>487</v>
      </c>
      <c r="B493" s="3" t="str">
        <f>"202000099908"</f>
        <v>202000099908</v>
      </c>
      <c r="C493" s="3">
        <v>110282</v>
      </c>
      <c r="D493" s="3" t="s">
        <v>2134</v>
      </c>
      <c r="E493" s="3">
        <v>10249820593</v>
      </c>
      <c r="F493" s="3" t="s">
        <v>2135</v>
      </c>
      <c r="G493" s="3" t="s">
        <v>2136</v>
      </c>
      <c r="H493" s="3" t="s">
        <v>28</v>
      </c>
      <c r="I493" s="3" t="s">
        <v>29</v>
      </c>
      <c r="J493" s="3" t="s">
        <v>130</v>
      </c>
      <c r="K493" s="3" t="s">
        <v>31</v>
      </c>
      <c r="L493" s="3" t="s">
        <v>80</v>
      </c>
      <c r="M493" s="3"/>
      <c r="N493" s="3"/>
      <c r="O493" s="3"/>
      <c r="P493" s="3"/>
      <c r="Q493" s="3"/>
      <c r="R493" s="3"/>
      <c r="S493" s="3"/>
      <c r="T493" s="3"/>
      <c r="U493" s="3">
        <v>330</v>
      </c>
      <c r="V493" s="4">
        <v>44050</v>
      </c>
      <c r="W493" s="4">
        <v>44415</v>
      </c>
      <c r="X493" s="3" t="s">
        <v>2137</v>
      </c>
    </row>
    <row r="494" spans="1:24" ht="27.95" x14ac:dyDescent="0.3">
      <c r="A494" s="3">
        <v>488</v>
      </c>
      <c r="B494" s="3" t="str">
        <f>"201300066755"</f>
        <v>201300066755</v>
      </c>
      <c r="C494" s="3">
        <v>102211</v>
      </c>
      <c r="D494" s="3" t="s">
        <v>2138</v>
      </c>
      <c r="E494" s="3">
        <v>10016814895</v>
      </c>
      <c r="F494" s="3" t="s">
        <v>2139</v>
      </c>
      <c r="G494" s="3" t="s">
        <v>2140</v>
      </c>
      <c r="H494" s="3" t="s">
        <v>45</v>
      </c>
      <c r="I494" s="3" t="s">
        <v>119</v>
      </c>
      <c r="J494" s="3" t="s">
        <v>519</v>
      </c>
      <c r="K494" s="3" t="s">
        <v>31</v>
      </c>
      <c r="L494" s="3" t="s">
        <v>182</v>
      </c>
      <c r="M494" s="3" t="s">
        <v>181</v>
      </c>
      <c r="N494" s="3"/>
      <c r="O494" s="3"/>
      <c r="P494" s="3"/>
      <c r="Q494" s="3"/>
      <c r="R494" s="3"/>
      <c r="S494" s="3"/>
      <c r="T494" s="3"/>
      <c r="U494" s="3">
        <v>330</v>
      </c>
      <c r="V494" s="4">
        <v>41387</v>
      </c>
      <c r="W494" s="3" t="s">
        <v>33</v>
      </c>
      <c r="X494" s="3" t="s">
        <v>2139</v>
      </c>
    </row>
    <row r="495" spans="1:24" ht="27.95" x14ac:dyDescent="0.3">
      <c r="A495" s="3">
        <v>489</v>
      </c>
      <c r="B495" s="3" t="str">
        <f>"201600127555"</f>
        <v>201600127555</v>
      </c>
      <c r="C495" s="3">
        <v>123702</v>
      </c>
      <c r="D495" s="3" t="s">
        <v>2141</v>
      </c>
      <c r="E495" s="3">
        <v>10705072251</v>
      </c>
      <c r="F495" s="3" t="s">
        <v>2142</v>
      </c>
      <c r="G495" s="3" t="s">
        <v>2143</v>
      </c>
      <c r="H495" s="3" t="s">
        <v>73</v>
      </c>
      <c r="I495" s="3" t="s">
        <v>2144</v>
      </c>
      <c r="J495" s="3" t="s">
        <v>2145</v>
      </c>
      <c r="K495" s="3" t="s">
        <v>31</v>
      </c>
      <c r="L495" s="3" t="s">
        <v>2146</v>
      </c>
      <c r="M495" s="3"/>
      <c r="N495" s="3"/>
      <c r="O495" s="3"/>
      <c r="P495" s="3"/>
      <c r="Q495" s="3"/>
      <c r="R495" s="3"/>
      <c r="S495" s="3"/>
      <c r="T495" s="3"/>
      <c r="U495" s="3">
        <v>330</v>
      </c>
      <c r="V495" s="4">
        <v>42642</v>
      </c>
      <c r="W495" s="3" t="s">
        <v>33</v>
      </c>
      <c r="X495" s="3" t="s">
        <v>2142</v>
      </c>
    </row>
    <row r="496" spans="1:24" ht="27.95" x14ac:dyDescent="0.3">
      <c r="A496" s="3">
        <v>490</v>
      </c>
      <c r="B496" s="3" t="str">
        <f>"1708377"</f>
        <v>1708377</v>
      </c>
      <c r="C496" s="3">
        <v>45726</v>
      </c>
      <c r="D496" s="3" t="s">
        <v>2147</v>
      </c>
      <c r="E496" s="3">
        <v>20450243001</v>
      </c>
      <c r="F496" s="3" t="s">
        <v>2148</v>
      </c>
      <c r="G496" s="3" t="s">
        <v>2149</v>
      </c>
      <c r="H496" s="3" t="s">
        <v>84</v>
      </c>
      <c r="I496" s="3" t="s">
        <v>85</v>
      </c>
      <c r="J496" s="3" t="s">
        <v>157</v>
      </c>
      <c r="K496" s="3" t="s">
        <v>31</v>
      </c>
      <c r="L496" s="3" t="s">
        <v>269</v>
      </c>
      <c r="M496" s="3" t="s">
        <v>1036</v>
      </c>
      <c r="N496" s="3"/>
      <c r="O496" s="3"/>
      <c r="P496" s="3"/>
      <c r="Q496" s="3"/>
      <c r="R496" s="3"/>
      <c r="S496" s="3"/>
      <c r="T496" s="3"/>
      <c r="U496" s="3">
        <v>741</v>
      </c>
      <c r="V496" s="4">
        <v>39287</v>
      </c>
      <c r="W496" s="3" t="s">
        <v>33</v>
      </c>
      <c r="X496" s="3" t="s">
        <v>2150</v>
      </c>
    </row>
    <row r="497" spans="1:24" ht="27.95" x14ac:dyDescent="0.3">
      <c r="A497" s="3">
        <v>491</v>
      </c>
      <c r="B497" s="3" t="str">
        <f>"201900111509"</f>
        <v>201900111509</v>
      </c>
      <c r="C497" s="3">
        <v>126004</v>
      </c>
      <c r="D497" s="3" t="s">
        <v>2151</v>
      </c>
      <c r="E497" s="3">
        <v>10229815828</v>
      </c>
      <c r="F497" s="3" t="s">
        <v>2152</v>
      </c>
      <c r="G497" s="3" t="s">
        <v>2153</v>
      </c>
      <c r="H497" s="3" t="s">
        <v>73</v>
      </c>
      <c r="I497" s="3" t="s">
        <v>2154</v>
      </c>
      <c r="J497" s="3" t="s">
        <v>2155</v>
      </c>
      <c r="K497" s="3" t="s">
        <v>31</v>
      </c>
      <c r="L497" s="3" t="s">
        <v>1416</v>
      </c>
      <c r="M497" s="3"/>
      <c r="N497" s="3"/>
      <c r="O497" s="3"/>
      <c r="P497" s="3"/>
      <c r="Q497" s="3"/>
      <c r="R497" s="3"/>
      <c r="S497" s="3"/>
      <c r="T497" s="3"/>
      <c r="U497" s="3">
        <v>330</v>
      </c>
      <c r="V497" s="4">
        <v>43662</v>
      </c>
      <c r="W497" s="3" t="s">
        <v>33</v>
      </c>
      <c r="X497" s="3" t="s">
        <v>2152</v>
      </c>
    </row>
    <row r="498" spans="1:24" ht="27.95" x14ac:dyDescent="0.3">
      <c r="A498" s="3">
        <v>492</v>
      </c>
      <c r="B498" s="3" t="str">
        <f>"201400065442"</f>
        <v>201400065442</v>
      </c>
      <c r="C498" s="3">
        <v>109619</v>
      </c>
      <c r="D498" s="3" t="s">
        <v>2156</v>
      </c>
      <c r="E498" s="3">
        <v>10226587204</v>
      </c>
      <c r="F498" s="3" t="s">
        <v>2157</v>
      </c>
      <c r="G498" s="3" t="s">
        <v>2158</v>
      </c>
      <c r="H498" s="3" t="s">
        <v>73</v>
      </c>
      <c r="I498" s="3" t="s">
        <v>1560</v>
      </c>
      <c r="J498" s="3" t="s">
        <v>2159</v>
      </c>
      <c r="K498" s="3" t="s">
        <v>31</v>
      </c>
      <c r="L498" s="3" t="s">
        <v>41</v>
      </c>
      <c r="M498" s="3" t="s">
        <v>65</v>
      </c>
      <c r="N498" s="3"/>
      <c r="O498" s="3"/>
      <c r="P498" s="3"/>
      <c r="Q498" s="3"/>
      <c r="R498" s="3"/>
      <c r="S498" s="3"/>
      <c r="T498" s="3"/>
      <c r="U498" s="3">
        <v>330</v>
      </c>
      <c r="V498" s="4">
        <v>41807</v>
      </c>
      <c r="W498" s="3" t="s">
        <v>33</v>
      </c>
      <c r="X498" s="3" t="s">
        <v>2157</v>
      </c>
    </row>
    <row r="499" spans="1:24" ht="41.95" x14ac:dyDescent="0.3">
      <c r="A499" s="3">
        <v>493</v>
      </c>
      <c r="B499" s="3" t="str">
        <f>"202000047063"</f>
        <v>202000047063</v>
      </c>
      <c r="C499" s="3">
        <v>149528</v>
      </c>
      <c r="D499" s="3" t="s">
        <v>2160</v>
      </c>
      <c r="E499" s="3">
        <v>10441418995</v>
      </c>
      <c r="F499" s="3" t="s">
        <v>2161</v>
      </c>
      <c r="G499" s="3" t="s">
        <v>2162</v>
      </c>
      <c r="H499" s="3" t="s">
        <v>28</v>
      </c>
      <c r="I499" s="3" t="s">
        <v>55</v>
      </c>
      <c r="J499" s="3" t="s">
        <v>56</v>
      </c>
      <c r="K499" s="3" t="s">
        <v>31</v>
      </c>
      <c r="L499" s="3" t="s">
        <v>57</v>
      </c>
      <c r="M499" s="3"/>
      <c r="N499" s="3"/>
      <c r="O499" s="3"/>
      <c r="P499" s="3"/>
      <c r="Q499" s="3"/>
      <c r="R499" s="3"/>
      <c r="S499" s="3"/>
      <c r="T499" s="3"/>
      <c r="U499" s="3">
        <v>715</v>
      </c>
      <c r="V499" s="4">
        <v>43907</v>
      </c>
      <c r="W499" s="3" t="s">
        <v>33</v>
      </c>
      <c r="X499" s="3" t="s">
        <v>2161</v>
      </c>
    </row>
    <row r="500" spans="1:24" ht="27.95" x14ac:dyDescent="0.3">
      <c r="A500" s="3">
        <v>494</v>
      </c>
      <c r="B500" s="3" t="str">
        <f>"201500073842"</f>
        <v>201500073842</v>
      </c>
      <c r="C500" s="3">
        <v>20132</v>
      </c>
      <c r="D500" s="3" t="s">
        <v>2163</v>
      </c>
      <c r="E500" s="3">
        <v>10424013124</v>
      </c>
      <c r="F500" s="3" t="s">
        <v>2164</v>
      </c>
      <c r="G500" s="3" t="s">
        <v>2165</v>
      </c>
      <c r="H500" s="3" t="s">
        <v>45</v>
      </c>
      <c r="I500" s="3" t="s">
        <v>448</v>
      </c>
      <c r="J500" s="3" t="s">
        <v>728</v>
      </c>
      <c r="K500" s="3" t="s">
        <v>31</v>
      </c>
      <c r="L500" s="3"/>
      <c r="M500" s="3"/>
      <c r="N500" s="3" t="s">
        <v>182</v>
      </c>
      <c r="O500" s="3" t="s">
        <v>64</v>
      </c>
      <c r="P500" s="3"/>
      <c r="Q500" s="3"/>
      <c r="R500" s="3"/>
      <c r="S500" s="3"/>
      <c r="T500" s="3"/>
      <c r="U500" s="3">
        <v>330</v>
      </c>
      <c r="V500" s="4">
        <v>42199</v>
      </c>
      <c r="W500" s="3" t="s">
        <v>33</v>
      </c>
      <c r="X500" s="3" t="s">
        <v>2164</v>
      </c>
    </row>
    <row r="501" spans="1:24" ht="41.95" x14ac:dyDescent="0.3">
      <c r="A501" s="3">
        <v>495</v>
      </c>
      <c r="B501" s="3" t="str">
        <f>"202000038895"</f>
        <v>202000038895</v>
      </c>
      <c r="C501" s="3">
        <v>106902</v>
      </c>
      <c r="D501" s="3" t="s">
        <v>2166</v>
      </c>
      <c r="E501" s="3">
        <v>10249791224</v>
      </c>
      <c r="F501" s="3" t="s">
        <v>2167</v>
      </c>
      <c r="G501" s="3" t="s">
        <v>2168</v>
      </c>
      <c r="H501" s="3" t="s">
        <v>28</v>
      </c>
      <c r="I501" s="3" t="s">
        <v>29</v>
      </c>
      <c r="J501" s="3" t="s">
        <v>2169</v>
      </c>
      <c r="K501" s="3" t="s">
        <v>31</v>
      </c>
      <c r="L501" s="3" t="s">
        <v>80</v>
      </c>
      <c r="M501" s="3"/>
      <c r="N501" s="3"/>
      <c r="O501" s="3"/>
      <c r="P501" s="3"/>
      <c r="Q501" s="3"/>
      <c r="R501" s="3"/>
      <c r="S501" s="3"/>
      <c r="T501" s="3"/>
      <c r="U501" s="3">
        <v>330</v>
      </c>
      <c r="V501" s="4">
        <v>43895</v>
      </c>
      <c r="W501" s="4">
        <v>44260</v>
      </c>
      <c r="X501" s="3" t="s">
        <v>2167</v>
      </c>
    </row>
    <row r="502" spans="1:24" ht="27.95" x14ac:dyDescent="0.3">
      <c r="A502" s="3">
        <v>496</v>
      </c>
      <c r="B502" s="3" t="str">
        <f>"201300184692"</f>
        <v>201300184692</v>
      </c>
      <c r="C502" s="3">
        <v>106763</v>
      </c>
      <c r="D502" s="3" t="s">
        <v>2170</v>
      </c>
      <c r="E502" s="3">
        <v>10448024836</v>
      </c>
      <c r="F502" s="3" t="s">
        <v>2171</v>
      </c>
      <c r="G502" s="3" t="s">
        <v>2172</v>
      </c>
      <c r="H502" s="3" t="s">
        <v>73</v>
      </c>
      <c r="I502" s="3" t="s">
        <v>1560</v>
      </c>
      <c r="J502" s="3" t="s">
        <v>1560</v>
      </c>
      <c r="K502" s="3" t="s">
        <v>31</v>
      </c>
      <c r="L502" s="3" t="s">
        <v>41</v>
      </c>
      <c r="M502" s="3" t="s">
        <v>2173</v>
      </c>
      <c r="N502" s="3"/>
      <c r="O502" s="3"/>
      <c r="P502" s="3"/>
      <c r="Q502" s="3"/>
      <c r="R502" s="3"/>
      <c r="S502" s="3"/>
      <c r="T502" s="3"/>
      <c r="U502" s="3">
        <v>330</v>
      </c>
      <c r="V502" s="4">
        <v>41680</v>
      </c>
      <c r="W502" s="3" t="s">
        <v>33</v>
      </c>
      <c r="X502" s="3" t="s">
        <v>2171</v>
      </c>
    </row>
    <row r="503" spans="1:24" ht="27.95" x14ac:dyDescent="0.3">
      <c r="A503" s="3">
        <v>497</v>
      </c>
      <c r="B503" s="3" t="str">
        <f>"201500065342"</f>
        <v>201500065342</v>
      </c>
      <c r="C503" s="3">
        <v>83831</v>
      </c>
      <c r="D503" s="3" t="s">
        <v>2174</v>
      </c>
      <c r="E503" s="3">
        <v>10615794681</v>
      </c>
      <c r="F503" s="3" t="s">
        <v>2175</v>
      </c>
      <c r="G503" s="3" t="s">
        <v>2176</v>
      </c>
      <c r="H503" s="3" t="s">
        <v>28</v>
      </c>
      <c r="I503" s="3" t="s">
        <v>565</v>
      </c>
      <c r="J503" s="3" t="s">
        <v>2177</v>
      </c>
      <c r="K503" s="3" t="s">
        <v>31</v>
      </c>
      <c r="L503" s="3"/>
      <c r="M503" s="3"/>
      <c r="N503" s="3" t="s">
        <v>121</v>
      </c>
      <c r="O503" s="3" t="s">
        <v>64</v>
      </c>
      <c r="P503" s="3"/>
      <c r="Q503" s="3"/>
      <c r="R503" s="3"/>
      <c r="S503" s="3"/>
      <c r="T503" s="3"/>
      <c r="U503" s="3">
        <v>330</v>
      </c>
      <c r="V503" s="4">
        <v>42170</v>
      </c>
      <c r="W503" s="3" t="s">
        <v>33</v>
      </c>
      <c r="X503" s="3" t="s">
        <v>2175</v>
      </c>
    </row>
    <row r="504" spans="1:24" ht="27.95" x14ac:dyDescent="0.3">
      <c r="A504" s="3">
        <v>498</v>
      </c>
      <c r="B504" s="3" t="str">
        <f>"201900032960"</f>
        <v>201900032960</v>
      </c>
      <c r="C504" s="3">
        <v>117702</v>
      </c>
      <c r="D504" s="3" t="s">
        <v>2178</v>
      </c>
      <c r="E504" s="3">
        <v>10001659991</v>
      </c>
      <c r="F504" s="3" t="s">
        <v>2179</v>
      </c>
      <c r="G504" s="3" t="s">
        <v>2180</v>
      </c>
      <c r="H504" s="3" t="s">
        <v>92</v>
      </c>
      <c r="I504" s="3" t="s">
        <v>246</v>
      </c>
      <c r="J504" s="3" t="s">
        <v>2181</v>
      </c>
      <c r="K504" s="3" t="s">
        <v>31</v>
      </c>
      <c r="L504" s="3" t="s">
        <v>94</v>
      </c>
      <c r="M504" s="3" t="s">
        <v>95</v>
      </c>
      <c r="N504" s="3"/>
      <c r="O504" s="3"/>
      <c r="P504" s="3"/>
      <c r="Q504" s="3"/>
      <c r="R504" s="3"/>
      <c r="S504" s="3"/>
      <c r="T504" s="3"/>
      <c r="U504" s="3">
        <v>715</v>
      </c>
      <c r="V504" s="4">
        <v>43533</v>
      </c>
      <c r="W504" s="3" t="s">
        <v>33</v>
      </c>
      <c r="X504" s="3" t="s">
        <v>2179</v>
      </c>
    </row>
    <row r="505" spans="1:24" ht="27.95" x14ac:dyDescent="0.3">
      <c r="A505" s="3">
        <v>499</v>
      </c>
      <c r="B505" s="3" t="str">
        <f>"201900059899"</f>
        <v>201900059899</v>
      </c>
      <c r="C505" s="3">
        <v>142625</v>
      </c>
      <c r="D505" s="3" t="s">
        <v>2182</v>
      </c>
      <c r="E505" s="3">
        <v>10228932782</v>
      </c>
      <c r="F505" s="3" t="s">
        <v>2183</v>
      </c>
      <c r="G505" s="3" t="s">
        <v>2184</v>
      </c>
      <c r="H505" s="3" t="s">
        <v>73</v>
      </c>
      <c r="I505" s="3" t="s">
        <v>674</v>
      </c>
      <c r="J505" s="3" t="s">
        <v>2185</v>
      </c>
      <c r="K505" s="3" t="s">
        <v>31</v>
      </c>
      <c r="L505" s="3" t="s">
        <v>57</v>
      </c>
      <c r="M505" s="3"/>
      <c r="N505" s="3"/>
      <c r="O505" s="3"/>
      <c r="P505" s="3"/>
      <c r="Q505" s="3"/>
      <c r="R505" s="3"/>
      <c r="S505" s="3"/>
      <c r="T505" s="3"/>
      <c r="U505" s="3">
        <v>0</v>
      </c>
      <c r="V505" s="4">
        <v>43572</v>
      </c>
      <c r="W505" s="3" t="s">
        <v>33</v>
      </c>
      <c r="X505" s="3" t="s">
        <v>2183</v>
      </c>
    </row>
    <row r="506" spans="1:24" ht="27.95" x14ac:dyDescent="0.3">
      <c r="A506" s="3">
        <v>500</v>
      </c>
      <c r="B506" s="3" t="str">
        <f>"202000121304"</f>
        <v>202000121304</v>
      </c>
      <c r="C506" s="3">
        <v>146689</v>
      </c>
      <c r="D506" s="3" t="s">
        <v>2186</v>
      </c>
      <c r="E506" s="3">
        <v>10441373738</v>
      </c>
      <c r="F506" s="3" t="s">
        <v>2187</v>
      </c>
      <c r="G506" s="3" t="s">
        <v>2188</v>
      </c>
      <c r="H506" s="3" t="s">
        <v>28</v>
      </c>
      <c r="I506" s="3" t="s">
        <v>29</v>
      </c>
      <c r="J506" s="3" t="s">
        <v>774</v>
      </c>
      <c r="K506" s="3" t="s">
        <v>31</v>
      </c>
      <c r="L506" s="3" t="s">
        <v>340</v>
      </c>
      <c r="M506" s="3"/>
      <c r="N506" s="3"/>
      <c r="O506" s="3"/>
      <c r="P506" s="3"/>
      <c r="Q506" s="3"/>
      <c r="R506" s="3"/>
      <c r="S506" s="3"/>
      <c r="T506" s="3"/>
      <c r="U506" s="3">
        <v>715</v>
      </c>
      <c r="V506" s="4">
        <v>44085</v>
      </c>
      <c r="W506" s="4">
        <v>44450</v>
      </c>
      <c r="X506" s="3" t="s">
        <v>2187</v>
      </c>
    </row>
    <row r="507" spans="1:24" ht="27.95" x14ac:dyDescent="0.3">
      <c r="A507" s="3">
        <v>501</v>
      </c>
      <c r="B507" s="3" t="str">
        <f>"201800140743"</f>
        <v>201800140743</v>
      </c>
      <c r="C507" s="3">
        <v>138238</v>
      </c>
      <c r="D507" s="3" t="s">
        <v>2189</v>
      </c>
      <c r="E507" s="3">
        <v>10274368387</v>
      </c>
      <c r="F507" s="3" t="s">
        <v>2190</v>
      </c>
      <c r="G507" s="3" t="s">
        <v>2191</v>
      </c>
      <c r="H507" s="3" t="s">
        <v>194</v>
      </c>
      <c r="I507" s="3" t="s">
        <v>813</v>
      </c>
      <c r="J507" s="3" t="s">
        <v>813</v>
      </c>
      <c r="K507" s="3" t="s">
        <v>31</v>
      </c>
      <c r="L507" s="3" t="s">
        <v>347</v>
      </c>
      <c r="M507" s="3"/>
      <c r="N507" s="3"/>
      <c r="O507" s="3"/>
      <c r="P507" s="3"/>
      <c r="Q507" s="3"/>
      <c r="R507" s="3"/>
      <c r="S507" s="3"/>
      <c r="T507" s="3"/>
      <c r="U507" s="3">
        <v>715</v>
      </c>
      <c r="V507" s="4">
        <v>43340</v>
      </c>
      <c r="W507" s="3" t="s">
        <v>33</v>
      </c>
      <c r="X507" s="3" t="s">
        <v>2190</v>
      </c>
    </row>
    <row r="508" spans="1:24" ht="27.95" x14ac:dyDescent="0.3">
      <c r="A508" s="3">
        <v>502</v>
      </c>
      <c r="B508" s="3" t="str">
        <f>"201500066722"</f>
        <v>201500066722</v>
      </c>
      <c r="C508" s="3">
        <v>114771</v>
      </c>
      <c r="D508" s="3" t="s">
        <v>2192</v>
      </c>
      <c r="E508" s="3">
        <v>10421089316</v>
      </c>
      <c r="F508" s="3" t="s">
        <v>2193</v>
      </c>
      <c r="G508" s="3" t="s">
        <v>2194</v>
      </c>
      <c r="H508" s="3" t="s">
        <v>225</v>
      </c>
      <c r="I508" s="3" t="s">
        <v>268</v>
      </c>
      <c r="J508" s="3" t="s">
        <v>2195</v>
      </c>
      <c r="K508" s="3" t="s">
        <v>31</v>
      </c>
      <c r="L508" s="3" t="s">
        <v>41</v>
      </c>
      <c r="M508" s="3" t="s">
        <v>50</v>
      </c>
      <c r="N508" s="3" t="s">
        <v>264</v>
      </c>
      <c r="O508" s="3"/>
      <c r="P508" s="3"/>
      <c r="Q508" s="3"/>
      <c r="R508" s="3"/>
      <c r="S508" s="3"/>
      <c r="T508" s="3"/>
      <c r="U508" s="3">
        <v>330</v>
      </c>
      <c r="V508" s="4">
        <v>42187</v>
      </c>
      <c r="W508" s="3" t="s">
        <v>33</v>
      </c>
      <c r="X508" s="3" t="s">
        <v>2193</v>
      </c>
    </row>
    <row r="509" spans="1:24" ht="27.95" x14ac:dyDescent="0.3">
      <c r="A509" s="3">
        <v>503</v>
      </c>
      <c r="B509" s="3" t="str">
        <f>"1602958"</f>
        <v>1602958</v>
      </c>
      <c r="C509" s="3">
        <v>20034</v>
      </c>
      <c r="D509" s="3" t="s">
        <v>2196</v>
      </c>
      <c r="E509" s="3">
        <v>10015234216</v>
      </c>
      <c r="F509" s="3" t="s">
        <v>2197</v>
      </c>
      <c r="G509" s="3" t="s">
        <v>2198</v>
      </c>
      <c r="H509" s="3" t="s">
        <v>45</v>
      </c>
      <c r="I509" s="3" t="s">
        <v>46</v>
      </c>
      <c r="J509" s="3" t="s">
        <v>411</v>
      </c>
      <c r="K509" s="3" t="s">
        <v>31</v>
      </c>
      <c r="L509" s="3" t="s">
        <v>164</v>
      </c>
      <c r="M509" s="3" t="s">
        <v>50</v>
      </c>
      <c r="N509" s="3" t="s">
        <v>139</v>
      </c>
      <c r="O509" s="3"/>
      <c r="P509" s="3"/>
      <c r="Q509" s="3"/>
      <c r="R509" s="3"/>
      <c r="S509" s="3"/>
      <c r="T509" s="3"/>
      <c r="U509" s="3">
        <v>440</v>
      </c>
      <c r="V509" s="4">
        <v>38824</v>
      </c>
      <c r="W509" s="3" t="s">
        <v>33</v>
      </c>
      <c r="X509" s="3" t="s">
        <v>2199</v>
      </c>
    </row>
    <row r="510" spans="1:24" ht="27.95" x14ac:dyDescent="0.3">
      <c r="A510" s="3">
        <v>504</v>
      </c>
      <c r="B510" s="3" t="str">
        <f>"201900012274"</f>
        <v>201900012274</v>
      </c>
      <c r="C510" s="3">
        <v>140936</v>
      </c>
      <c r="D510" s="3" t="s">
        <v>2200</v>
      </c>
      <c r="E510" s="3">
        <v>10006762901</v>
      </c>
      <c r="F510" s="3" t="s">
        <v>2201</v>
      </c>
      <c r="G510" s="3" t="s">
        <v>2202</v>
      </c>
      <c r="H510" s="3" t="s">
        <v>571</v>
      </c>
      <c r="I510" s="3" t="s">
        <v>1369</v>
      </c>
      <c r="J510" s="3" t="s">
        <v>1369</v>
      </c>
      <c r="K510" s="3" t="s">
        <v>31</v>
      </c>
      <c r="L510" s="3" t="s">
        <v>485</v>
      </c>
      <c r="M510" s="3" t="s">
        <v>39</v>
      </c>
      <c r="N510" s="3"/>
      <c r="O510" s="3"/>
      <c r="P510" s="3"/>
      <c r="Q510" s="3"/>
      <c r="R510" s="3"/>
      <c r="S510" s="3"/>
      <c r="T510" s="3"/>
      <c r="U510" s="3">
        <v>0</v>
      </c>
      <c r="V510" s="4">
        <v>43489</v>
      </c>
      <c r="W510" s="3" t="s">
        <v>33</v>
      </c>
      <c r="X510" s="3" t="s">
        <v>2201</v>
      </c>
    </row>
    <row r="511" spans="1:24" ht="27.95" x14ac:dyDescent="0.3">
      <c r="A511" s="3">
        <v>505</v>
      </c>
      <c r="B511" s="3" t="str">
        <f>"201800067817"</f>
        <v>201800067817</v>
      </c>
      <c r="C511" s="3">
        <v>135852</v>
      </c>
      <c r="D511" s="3" t="s">
        <v>2203</v>
      </c>
      <c r="E511" s="3">
        <v>10400022041</v>
      </c>
      <c r="F511" s="3" t="s">
        <v>2204</v>
      </c>
      <c r="G511" s="3" t="s">
        <v>2205</v>
      </c>
      <c r="H511" s="3" t="s">
        <v>92</v>
      </c>
      <c r="I511" s="3" t="s">
        <v>246</v>
      </c>
      <c r="J511" s="3" t="s">
        <v>2181</v>
      </c>
      <c r="K511" s="3" t="s">
        <v>31</v>
      </c>
      <c r="L511" s="3" t="s">
        <v>2206</v>
      </c>
      <c r="M511" s="3" t="s">
        <v>2207</v>
      </c>
      <c r="N511" s="3"/>
      <c r="O511" s="3"/>
      <c r="P511" s="3"/>
      <c r="Q511" s="3"/>
      <c r="R511" s="3"/>
      <c r="S511" s="3"/>
      <c r="T511" s="3"/>
      <c r="U511" s="3">
        <v>715</v>
      </c>
      <c r="V511" s="4">
        <v>43227</v>
      </c>
      <c r="W511" s="3" t="s">
        <v>33</v>
      </c>
      <c r="X511" s="3" t="s">
        <v>2204</v>
      </c>
    </row>
    <row r="512" spans="1:24" ht="27.95" x14ac:dyDescent="0.3">
      <c r="A512" s="3">
        <v>506</v>
      </c>
      <c r="B512" s="3" t="str">
        <f>"201300110034"</f>
        <v>201300110034</v>
      </c>
      <c r="C512" s="3">
        <v>102662</v>
      </c>
      <c r="D512" s="3" t="s">
        <v>2208</v>
      </c>
      <c r="E512" s="3">
        <v>10338260569</v>
      </c>
      <c r="F512" s="3" t="s">
        <v>2209</v>
      </c>
      <c r="G512" s="3" t="s">
        <v>2210</v>
      </c>
      <c r="H512" s="3" t="s">
        <v>225</v>
      </c>
      <c r="I512" s="3" t="s">
        <v>226</v>
      </c>
      <c r="J512" s="3" t="s">
        <v>1606</v>
      </c>
      <c r="K512" s="3" t="s">
        <v>31</v>
      </c>
      <c r="L512" s="3"/>
      <c r="M512" s="3"/>
      <c r="N512" s="3" t="s">
        <v>228</v>
      </c>
      <c r="O512" s="3"/>
      <c r="P512" s="3"/>
      <c r="Q512" s="3"/>
      <c r="R512" s="3"/>
      <c r="S512" s="3"/>
      <c r="T512" s="3"/>
      <c r="U512" s="3">
        <v>330</v>
      </c>
      <c r="V512" s="4">
        <v>41446</v>
      </c>
      <c r="W512" s="3" t="s">
        <v>33</v>
      </c>
      <c r="X512" s="3" t="s">
        <v>2209</v>
      </c>
    </row>
    <row r="513" spans="1:24" ht="27.95" x14ac:dyDescent="0.3">
      <c r="A513" s="3">
        <v>507</v>
      </c>
      <c r="B513" s="3" t="str">
        <f>"202000014900"</f>
        <v>202000014900</v>
      </c>
      <c r="C513" s="3">
        <v>135720</v>
      </c>
      <c r="D513" s="3" t="s">
        <v>2211</v>
      </c>
      <c r="E513" s="3">
        <v>20603053797</v>
      </c>
      <c r="F513" s="3" t="s">
        <v>2212</v>
      </c>
      <c r="G513" s="3" t="s">
        <v>2213</v>
      </c>
      <c r="H513" s="3" t="s">
        <v>571</v>
      </c>
      <c r="I513" s="3" t="s">
        <v>571</v>
      </c>
      <c r="J513" s="3" t="s">
        <v>1212</v>
      </c>
      <c r="K513" s="3" t="s">
        <v>31</v>
      </c>
      <c r="L513" s="3" t="s">
        <v>574</v>
      </c>
      <c r="M513" s="3" t="s">
        <v>236</v>
      </c>
      <c r="N513" s="3" t="s">
        <v>65</v>
      </c>
      <c r="O513" s="3"/>
      <c r="P513" s="3"/>
      <c r="Q513" s="3"/>
      <c r="R513" s="3"/>
      <c r="S513" s="3"/>
      <c r="T513" s="3"/>
      <c r="U513" s="3">
        <v>715</v>
      </c>
      <c r="V513" s="4">
        <v>43857</v>
      </c>
      <c r="W513" s="3" t="s">
        <v>33</v>
      </c>
      <c r="X513" s="3" t="s">
        <v>2214</v>
      </c>
    </row>
    <row r="514" spans="1:24" ht="27.95" x14ac:dyDescent="0.3">
      <c r="A514" s="3">
        <v>508</v>
      </c>
      <c r="B514" s="3" t="str">
        <f>"1590096"</f>
        <v>1590096</v>
      </c>
      <c r="C514" s="3">
        <v>42229</v>
      </c>
      <c r="D514" s="3" t="s">
        <v>2215</v>
      </c>
      <c r="E514" s="3">
        <v>10293049977</v>
      </c>
      <c r="F514" s="3" t="s">
        <v>2216</v>
      </c>
      <c r="G514" s="3" t="s">
        <v>2217</v>
      </c>
      <c r="H514" s="3" t="s">
        <v>45</v>
      </c>
      <c r="I514" s="3" t="s">
        <v>46</v>
      </c>
      <c r="J514" s="3" t="s">
        <v>46</v>
      </c>
      <c r="K514" s="3" t="s">
        <v>31</v>
      </c>
      <c r="L514" s="3" t="s">
        <v>548</v>
      </c>
      <c r="M514" s="3" t="s">
        <v>108</v>
      </c>
      <c r="N514" s="3" t="s">
        <v>50</v>
      </c>
      <c r="O514" s="3"/>
      <c r="P514" s="3"/>
      <c r="Q514" s="3"/>
      <c r="R514" s="3"/>
      <c r="S514" s="3"/>
      <c r="T514" s="3"/>
      <c r="U514" s="3">
        <v>342</v>
      </c>
      <c r="V514" s="4">
        <v>38735</v>
      </c>
      <c r="W514" s="3" t="s">
        <v>33</v>
      </c>
      <c r="X514" s="3" t="s">
        <v>2218</v>
      </c>
    </row>
    <row r="515" spans="1:24" ht="27.95" x14ac:dyDescent="0.3">
      <c r="A515" s="3">
        <v>509</v>
      </c>
      <c r="B515" s="3" t="str">
        <f>"201800021701"</f>
        <v>201800021701</v>
      </c>
      <c r="C515" s="3">
        <v>85621</v>
      </c>
      <c r="D515" s="3" t="s">
        <v>2219</v>
      </c>
      <c r="E515" s="3">
        <v>10277524118</v>
      </c>
      <c r="F515" s="3" t="s">
        <v>1576</v>
      </c>
      <c r="G515" s="3" t="s">
        <v>2220</v>
      </c>
      <c r="H515" s="3" t="s">
        <v>84</v>
      </c>
      <c r="I515" s="3" t="s">
        <v>85</v>
      </c>
      <c r="J515" s="3" t="s">
        <v>86</v>
      </c>
      <c r="K515" s="3" t="s">
        <v>31</v>
      </c>
      <c r="L515" s="3"/>
      <c r="M515" s="3"/>
      <c r="N515" s="3" t="s">
        <v>269</v>
      </c>
      <c r="O515" s="3" t="s">
        <v>95</v>
      </c>
      <c r="P515" s="3"/>
      <c r="Q515" s="3"/>
      <c r="R515" s="3"/>
      <c r="S515" s="3"/>
      <c r="T515" s="3"/>
      <c r="U515" s="3">
        <v>715</v>
      </c>
      <c r="V515" s="4">
        <v>43145</v>
      </c>
      <c r="W515" s="3" t="s">
        <v>33</v>
      </c>
      <c r="X515" s="3" t="s">
        <v>1576</v>
      </c>
    </row>
    <row r="516" spans="1:24" ht="27.95" x14ac:dyDescent="0.3">
      <c r="A516" s="3">
        <v>510</v>
      </c>
      <c r="B516" s="3" t="str">
        <f>"201400156753"</f>
        <v>201400156753</v>
      </c>
      <c r="C516" s="3">
        <v>91439</v>
      </c>
      <c r="D516" s="3" t="s">
        <v>2221</v>
      </c>
      <c r="E516" s="3">
        <v>10243859463</v>
      </c>
      <c r="F516" s="3" t="s">
        <v>2222</v>
      </c>
      <c r="G516" s="3" t="s">
        <v>2223</v>
      </c>
      <c r="H516" s="3" t="s">
        <v>28</v>
      </c>
      <c r="I516" s="3" t="s">
        <v>125</v>
      </c>
      <c r="J516" s="3" t="s">
        <v>2224</v>
      </c>
      <c r="K516" s="3" t="s">
        <v>31</v>
      </c>
      <c r="L516" s="3" t="s">
        <v>181</v>
      </c>
      <c r="M516" s="3" t="s">
        <v>182</v>
      </c>
      <c r="N516" s="3"/>
      <c r="O516" s="3"/>
      <c r="P516" s="3"/>
      <c r="Q516" s="3"/>
      <c r="R516" s="3"/>
      <c r="S516" s="3"/>
      <c r="T516" s="3"/>
      <c r="U516" s="3">
        <v>330</v>
      </c>
      <c r="V516" s="4">
        <v>41995</v>
      </c>
      <c r="W516" s="3" t="s">
        <v>33</v>
      </c>
      <c r="X516" s="3" t="s">
        <v>2222</v>
      </c>
    </row>
    <row r="517" spans="1:24" ht="27.95" x14ac:dyDescent="0.3">
      <c r="A517" s="3">
        <v>511</v>
      </c>
      <c r="B517" s="3" t="str">
        <f>"1429426"</f>
        <v>1429426</v>
      </c>
      <c r="C517" s="3">
        <v>39582</v>
      </c>
      <c r="D517" s="3" t="s">
        <v>2225</v>
      </c>
      <c r="E517" s="3">
        <v>10335637866</v>
      </c>
      <c r="F517" s="3" t="s">
        <v>2226</v>
      </c>
      <c r="G517" s="3" t="s">
        <v>2227</v>
      </c>
      <c r="H517" s="3" t="s">
        <v>225</v>
      </c>
      <c r="I517" s="3" t="s">
        <v>268</v>
      </c>
      <c r="J517" s="3" t="s">
        <v>2195</v>
      </c>
      <c r="K517" s="3" t="s">
        <v>31</v>
      </c>
      <c r="L517" s="3" t="s">
        <v>819</v>
      </c>
      <c r="M517" s="3"/>
      <c r="N517" s="3"/>
      <c r="O517" s="3"/>
      <c r="P517" s="3" t="s">
        <v>821</v>
      </c>
      <c r="Q517" s="3"/>
      <c r="R517" s="3"/>
      <c r="S517" s="3"/>
      <c r="T517" s="3"/>
      <c r="U517" s="3">
        <v>342</v>
      </c>
      <c r="V517" s="4">
        <v>40477</v>
      </c>
      <c r="W517" s="3" t="s">
        <v>33</v>
      </c>
      <c r="X517" s="3" t="s">
        <v>2226</v>
      </c>
    </row>
    <row r="518" spans="1:24" ht="27.95" x14ac:dyDescent="0.3">
      <c r="A518" s="3">
        <v>512</v>
      </c>
      <c r="B518" s="3" t="str">
        <f>"201900051119"</f>
        <v>201900051119</v>
      </c>
      <c r="C518" s="3">
        <v>142342</v>
      </c>
      <c r="D518" s="3" t="s">
        <v>2228</v>
      </c>
      <c r="E518" s="3">
        <v>10040386772</v>
      </c>
      <c r="F518" s="3" t="s">
        <v>2229</v>
      </c>
      <c r="G518" s="3" t="s">
        <v>2230</v>
      </c>
      <c r="H518" s="3" t="s">
        <v>464</v>
      </c>
      <c r="I518" s="3" t="s">
        <v>464</v>
      </c>
      <c r="J518" s="3" t="s">
        <v>174</v>
      </c>
      <c r="K518" s="3" t="s">
        <v>31</v>
      </c>
      <c r="L518" s="3" t="s">
        <v>2231</v>
      </c>
      <c r="M518" s="3"/>
      <c r="N518" s="3"/>
      <c r="O518" s="3"/>
      <c r="P518" s="3"/>
      <c r="Q518" s="3"/>
      <c r="R518" s="3"/>
      <c r="S518" s="3"/>
      <c r="T518" s="3"/>
      <c r="U518" s="3">
        <v>330</v>
      </c>
      <c r="V518" s="4">
        <v>43570</v>
      </c>
      <c r="W518" s="3" t="s">
        <v>33</v>
      </c>
      <c r="X518" s="3" t="s">
        <v>2229</v>
      </c>
    </row>
    <row r="519" spans="1:24" ht="27.95" x14ac:dyDescent="0.3">
      <c r="A519" s="3">
        <v>513</v>
      </c>
      <c r="B519" s="3" t="str">
        <f>"202000063390"</f>
        <v>202000063390</v>
      </c>
      <c r="C519" s="3">
        <v>149626</v>
      </c>
      <c r="D519" s="3" t="s">
        <v>2232</v>
      </c>
      <c r="E519" s="3">
        <v>10474295147</v>
      </c>
      <c r="F519" s="3" t="s">
        <v>2233</v>
      </c>
      <c r="G519" s="3" t="s">
        <v>2234</v>
      </c>
      <c r="H519" s="3" t="s">
        <v>28</v>
      </c>
      <c r="I519" s="3" t="s">
        <v>174</v>
      </c>
      <c r="J519" s="3" t="s">
        <v>2235</v>
      </c>
      <c r="K519" s="3" t="s">
        <v>31</v>
      </c>
      <c r="L519" s="3" t="s">
        <v>57</v>
      </c>
      <c r="M519" s="3"/>
      <c r="N519" s="3"/>
      <c r="O519" s="3"/>
      <c r="P519" s="3"/>
      <c r="Q519" s="3"/>
      <c r="R519" s="3"/>
      <c r="S519" s="3"/>
      <c r="T519" s="3"/>
      <c r="U519" s="3">
        <v>715</v>
      </c>
      <c r="V519" s="4">
        <v>44007</v>
      </c>
      <c r="W519" s="3" t="s">
        <v>33</v>
      </c>
      <c r="X519" s="3" t="s">
        <v>2233</v>
      </c>
    </row>
    <row r="520" spans="1:24" ht="27.95" x14ac:dyDescent="0.3">
      <c r="A520" s="3">
        <v>514</v>
      </c>
      <c r="B520" s="3" t="str">
        <f>"201800044300"</f>
        <v>201800044300</v>
      </c>
      <c r="C520" s="3">
        <v>135076</v>
      </c>
      <c r="D520" s="3" t="s">
        <v>2236</v>
      </c>
      <c r="E520" s="3">
        <v>10440863715</v>
      </c>
      <c r="F520" s="3" t="s">
        <v>2237</v>
      </c>
      <c r="G520" s="3" t="s">
        <v>2238</v>
      </c>
      <c r="H520" s="3" t="s">
        <v>28</v>
      </c>
      <c r="I520" s="3" t="s">
        <v>174</v>
      </c>
      <c r="J520" s="3" t="s">
        <v>2235</v>
      </c>
      <c r="K520" s="3" t="s">
        <v>31</v>
      </c>
      <c r="L520" s="3" t="s">
        <v>340</v>
      </c>
      <c r="M520" s="3"/>
      <c r="N520" s="3"/>
      <c r="O520" s="3"/>
      <c r="P520" s="3"/>
      <c r="Q520" s="3"/>
      <c r="R520" s="3"/>
      <c r="S520" s="3"/>
      <c r="T520" s="3"/>
      <c r="U520" s="3">
        <v>715</v>
      </c>
      <c r="V520" s="4">
        <v>43178</v>
      </c>
      <c r="W520" s="3" t="s">
        <v>33</v>
      </c>
      <c r="X520" s="3" t="s">
        <v>2237</v>
      </c>
    </row>
    <row r="521" spans="1:24" ht="27.95" x14ac:dyDescent="0.3">
      <c r="A521" s="3">
        <v>515</v>
      </c>
      <c r="B521" s="3" t="str">
        <f>"201800048725"</f>
        <v>201800048725</v>
      </c>
      <c r="C521" s="3">
        <v>18804</v>
      </c>
      <c r="D521" s="3" t="s">
        <v>2239</v>
      </c>
      <c r="E521" s="3">
        <v>10025350591</v>
      </c>
      <c r="F521" s="3" t="s">
        <v>2240</v>
      </c>
      <c r="G521" s="3" t="s">
        <v>2241</v>
      </c>
      <c r="H521" s="3" t="s">
        <v>45</v>
      </c>
      <c r="I521" s="3" t="s">
        <v>448</v>
      </c>
      <c r="J521" s="3" t="s">
        <v>728</v>
      </c>
      <c r="K521" s="3" t="s">
        <v>31</v>
      </c>
      <c r="L521" s="3"/>
      <c r="M521" s="3"/>
      <c r="N521" s="3"/>
      <c r="O521" s="3"/>
      <c r="P521" s="3" t="s">
        <v>340</v>
      </c>
      <c r="Q521" s="3"/>
      <c r="R521" s="3"/>
      <c r="S521" s="3"/>
      <c r="T521" s="3"/>
      <c r="U521" s="3">
        <v>715</v>
      </c>
      <c r="V521" s="4">
        <v>43193</v>
      </c>
      <c r="W521" s="3" t="s">
        <v>33</v>
      </c>
      <c r="X521" s="3" t="s">
        <v>2240</v>
      </c>
    </row>
    <row r="522" spans="1:24" ht="27.95" x14ac:dyDescent="0.3">
      <c r="A522" s="3">
        <v>516</v>
      </c>
      <c r="B522" s="3" t="str">
        <f>"1762887"</f>
        <v>1762887</v>
      </c>
      <c r="C522" s="3">
        <v>37214</v>
      </c>
      <c r="D522" s="3" t="s">
        <v>2242</v>
      </c>
      <c r="E522" s="3">
        <v>10055950780</v>
      </c>
      <c r="F522" s="3" t="s">
        <v>2243</v>
      </c>
      <c r="G522" s="3" t="s">
        <v>2244</v>
      </c>
      <c r="H522" s="3" t="s">
        <v>84</v>
      </c>
      <c r="I522" s="3" t="s">
        <v>85</v>
      </c>
      <c r="J522" s="3" t="s">
        <v>157</v>
      </c>
      <c r="K522" s="3" t="s">
        <v>31</v>
      </c>
      <c r="L522" s="3" t="s">
        <v>49</v>
      </c>
      <c r="M522" s="3" t="s">
        <v>50</v>
      </c>
      <c r="N522" s="3"/>
      <c r="O522" s="3"/>
      <c r="P522" s="3"/>
      <c r="Q522" s="3"/>
      <c r="R522" s="3"/>
      <c r="S522" s="3"/>
      <c r="T522" s="3"/>
      <c r="U522" s="3">
        <v>342</v>
      </c>
      <c r="V522" s="4">
        <v>39503</v>
      </c>
      <c r="W522" s="3" t="s">
        <v>33</v>
      </c>
      <c r="X522" s="3" t="s">
        <v>2245</v>
      </c>
    </row>
    <row r="523" spans="1:24" ht="27.95" x14ac:dyDescent="0.3">
      <c r="A523" s="3">
        <v>517</v>
      </c>
      <c r="B523" s="3" t="str">
        <f>"201500083183"</f>
        <v>201500083183</v>
      </c>
      <c r="C523" s="3">
        <v>114152</v>
      </c>
      <c r="D523" s="3" t="s">
        <v>2246</v>
      </c>
      <c r="E523" s="3">
        <v>10469477326</v>
      </c>
      <c r="F523" s="3" t="s">
        <v>2247</v>
      </c>
      <c r="G523" s="3" t="s">
        <v>2248</v>
      </c>
      <c r="H523" s="3" t="s">
        <v>344</v>
      </c>
      <c r="I523" s="3" t="s">
        <v>344</v>
      </c>
      <c r="J523" s="3" t="s">
        <v>2249</v>
      </c>
      <c r="K523" s="3" t="s">
        <v>31</v>
      </c>
      <c r="L523" s="3" t="s">
        <v>182</v>
      </c>
      <c r="M523" s="3" t="s">
        <v>41</v>
      </c>
      <c r="N523" s="3"/>
      <c r="O523" s="3"/>
      <c r="P523" s="3"/>
      <c r="Q523" s="3"/>
      <c r="R523" s="3"/>
      <c r="S523" s="3"/>
      <c r="T523" s="3"/>
      <c r="U523" s="3">
        <v>330</v>
      </c>
      <c r="V523" s="4">
        <v>42222</v>
      </c>
      <c r="W523" s="3" t="s">
        <v>33</v>
      </c>
      <c r="X523" s="3" t="s">
        <v>2247</v>
      </c>
    </row>
    <row r="524" spans="1:24" ht="27.95" x14ac:dyDescent="0.3">
      <c r="A524" s="3">
        <v>518</v>
      </c>
      <c r="B524" s="3" t="str">
        <f>"201900040967"</f>
        <v>201900040967</v>
      </c>
      <c r="C524" s="3">
        <v>141899</v>
      </c>
      <c r="D524" s="3" t="s">
        <v>2250</v>
      </c>
      <c r="E524" s="3">
        <v>10434385518</v>
      </c>
      <c r="F524" s="3" t="s">
        <v>2251</v>
      </c>
      <c r="G524" s="3" t="s">
        <v>2252</v>
      </c>
      <c r="H524" s="3" t="s">
        <v>28</v>
      </c>
      <c r="I524" s="3" t="s">
        <v>663</v>
      </c>
      <c r="J524" s="3" t="s">
        <v>2253</v>
      </c>
      <c r="K524" s="3" t="s">
        <v>31</v>
      </c>
      <c r="L524" s="3" t="s">
        <v>32</v>
      </c>
      <c r="M524" s="3"/>
      <c r="N524" s="3"/>
      <c r="O524" s="3"/>
      <c r="P524" s="3"/>
      <c r="Q524" s="3"/>
      <c r="R524" s="3"/>
      <c r="S524" s="3"/>
      <c r="T524" s="3"/>
      <c r="U524" s="3">
        <v>715</v>
      </c>
      <c r="V524" s="4">
        <v>43538</v>
      </c>
      <c r="W524" s="3" t="s">
        <v>33</v>
      </c>
      <c r="X524" s="3" t="s">
        <v>2251</v>
      </c>
    </row>
    <row r="525" spans="1:24" ht="27.95" x14ac:dyDescent="0.3">
      <c r="A525" s="3">
        <v>519</v>
      </c>
      <c r="B525" s="3" t="str">
        <f>"201800118669"</f>
        <v>201800118669</v>
      </c>
      <c r="C525" s="3">
        <v>137528</v>
      </c>
      <c r="D525" s="3" t="s">
        <v>2254</v>
      </c>
      <c r="E525" s="3">
        <v>10209941827</v>
      </c>
      <c r="F525" s="3" t="s">
        <v>2255</v>
      </c>
      <c r="G525" s="3" t="s">
        <v>2256</v>
      </c>
      <c r="H525" s="3" t="s">
        <v>92</v>
      </c>
      <c r="I525" s="3" t="s">
        <v>246</v>
      </c>
      <c r="J525" s="3" t="s">
        <v>334</v>
      </c>
      <c r="K525" s="3" t="s">
        <v>31</v>
      </c>
      <c r="L525" s="3" t="s">
        <v>115</v>
      </c>
      <c r="M525" s="3"/>
      <c r="N525" s="3"/>
      <c r="O525" s="3"/>
      <c r="P525" s="3"/>
      <c r="Q525" s="3"/>
      <c r="R525" s="3"/>
      <c r="S525" s="3"/>
      <c r="T525" s="3"/>
      <c r="U525" s="3">
        <v>715</v>
      </c>
      <c r="V525" s="4">
        <v>43313</v>
      </c>
      <c r="W525" s="3" t="s">
        <v>33</v>
      </c>
      <c r="X525" s="3" t="s">
        <v>2255</v>
      </c>
    </row>
    <row r="526" spans="1:24" ht="27.95" x14ac:dyDescent="0.3">
      <c r="A526" s="3">
        <v>520</v>
      </c>
      <c r="B526" s="3" t="str">
        <f>"1400851"</f>
        <v>1400851</v>
      </c>
      <c r="C526" s="3">
        <v>33429</v>
      </c>
      <c r="D526" s="3" t="s">
        <v>2257</v>
      </c>
      <c r="E526" s="3">
        <v>10013083482</v>
      </c>
      <c r="F526" s="3" t="s">
        <v>2258</v>
      </c>
      <c r="G526" s="3" t="s">
        <v>2259</v>
      </c>
      <c r="H526" s="3" t="s">
        <v>45</v>
      </c>
      <c r="I526" s="3" t="s">
        <v>45</v>
      </c>
      <c r="J526" s="3" t="s">
        <v>45</v>
      </c>
      <c r="K526" s="3" t="s">
        <v>31</v>
      </c>
      <c r="L526" s="3" t="s">
        <v>48</v>
      </c>
      <c r="M526" s="3" t="s">
        <v>50</v>
      </c>
      <c r="N526" s="3" t="s">
        <v>145</v>
      </c>
      <c r="O526" s="3"/>
      <c r="P526" s="3"/>
      <c r="Q526" s="3"/>
      <c r="R526" s="3"/>
      <c r="S526" s="3"/>
      <c r="T526" s="3"/>
      <c r="U526" s="3">
        <v>342</v>
      </c>
      <c r="V526" s="4">
        <v>37631</v>
      </c>
      <c r="W526" s="3" t="s">
        <v>33</v>
      </c>
      <c r="X526" s="3" t="s">
        <v>2260</v>
      </c>
    </row>
    <row r="527" spans="1:24" ht="27.95" x14ac:dyDescent="0.3">
      <c r="A527" s="3">
        <v>521</v>
      </c>
      <c r="B527" s="3" t="str">
        <f>"201800025586"</f>
        <v>201800025586</v>
      </c>
      <c r="C527" s="3">
        <v>20996</v>
      </c>
      <c r="D527" s="3" t="s">
        <v>2261</v>
      </c>
      <c r="E527" s="3">
        <v>10022851379</v>
      </c>
      <c r="F527" s="3" t="s">
        <v>2262</v>
      </c>
      <c r="G527" s="3" t="s">
        <v>2263</v>
      </c>
      <c r="H527" s="3" t="s">
        <v>45</v>
      </c>
      <c r="I527" s="3" t="s">
        <v>119</v>
      </c>
      <c r="J527" s="3" t="s">
        <v>588</v>
      </c>
      <c r="K527" s="3" t="s">
        <v>31</v>
      </c>
      <c r="L527" s="3" t="s">
        <v>39</v>
      </c>
      <c r="M527" s="3" t="s">
        <v>175</v>
      </c>
      <c r="N527" s="3" t="s">
        <v>182</v>
      </c>
      <c r="O527" s="3" t="s">
        <v>181</v>
      </c>
      <c r="P527" s="3"/>
      <c r="Q527" s="3"/>
      <c r="R527" s="3"/>
      <c r="S527" s="3"/>
      <c r="T527" s="3"/>
      <c r="U527" s="3">
        <v>330</v>
      </c>
      <c r="V527" s="4">
        <v>43158</v>
      </c>
      <c r="W527" s="3" t="s">
        <v>33</v>
      </c>
      <c r="X527" s="3" t="s">
        <v>2262</v>
      </c>
    </row>
    <row r="528" spans="1:24" ht="27.95" x14ac:dyDescent="0.3">
      <c r="A528" s="3">
        <v>522</v>
      </c>
      <c r="B528" s="3" t="str">
        <f>"1497255"</f>
        <v>1497255</v>
      </c>
      <c r="C528" s="3">
        <v>20054</v>
      </c>
      <c r="D528" s="3" t="s">
        <v>2264</v>
      </c>
      <c r="E528" s="3">
        <v>10018521879</v>
      </c>
      <c r="F528" s="3" t="s">
        <v>2265</v>
      </c>
      <c r="G528" s="3" t="s">
        <v>2266</v>
      </c>
      <c r="H528" s="3" t="s">
        <v>45</v>
      </c>
      <c r="I528" s="3" t="s">
        <v>105</v>
      </c>
      <c r="J528" s="3" t="s">
        <v>144</v>
      </c>
      <c r="K528" s="3" t="s">
        <v>31</v>
      </c>
      <c r="L528" s="3" t="s">
        <v>1296</v>
      </c>
      <c r="M528" s="3" t="s">
        <v>1351</v>
      </c>
      <c r="N528" s="3" t="s">
        <v>1351</v>
      </c>
      <c r="O528" s="3" t="s">
        <v>428</v>
      </c>
      <c r="P528" s="3" t="s">
        <v>428</v>
      </c>
      <c r="Q528" s="3"/>
      <c r="R528" s="3"/>
      <c r="S528" s="3"/>
      <c r="T528" s="3"/>
      <c r="U528" s="3">
        <v>440</v>
      </c>
      <c r="V528" s="4">
        <v>40770</v>
      </c>
      <c r="W528" s="3" t="s">
        <v>33</v>
      </c>
      <c r="X528" s="3" t="s">
        <v>2265</v>
      </c>
    </row>
    <row r="529" spans="1:24" ht="41.95" x14ac:dyDescent="0.3">
      <c r="A529" s="3">
        <v>523</v>
      </c>
      <c r="B529" s="3" t="str">
        <f>"202000008960"</f>
        <v>202000008960</v>
      </c>
      <c r="C529" s="3">
        <v>148823</v>
      </c>
      <c r="D529" s="3" t="s">
        <v>2267</v>
      </c>
      <c r="E529" s="3">
        <v>10194281981</v>
      </c>
      <c r="F529" s="3" t="s">
        <v>2268</v>
      </c>
      <c r="G529" s="3" t="s">
        <v>2269</v>
      </c>
      <c r="H529" s="3" t="s">
        <v>498</v>
      </c>
      <c r="I529" s="3" t="s">
        <v>2270</v>
      </c>
      <c r="J529" s="3" t="s">
        <v>2271</v>
      </c>
      <c r="K529" s="3" t="s">
        <v>31</v>
      </c>
      <c r="L529" s="3"/>
      <c r="M529" s="3" t="s">
        <v>57</v>
      </c>
      <c r="N529" s="3"/>
      <c r="O529" s="3"/>
      <c r="P529" s="3"/>
      <c r="Q529" s="3"/>
      <c r="R529" s="3"/>
      <c r="S529" s="3"/>
      <c r="T529" s="3"/>
      <c r="U529" s="3">
        <v>715</v>
      </c>
      <c r="V529" s="4">
        <v>43870</v>
      </c>
      <c r="W529" s="3" t="s">
        <v>33</v>
      </c>
      <c r="X529" s="3" t="s">
        <v>2268</v>
      </c>
    </row>
    <row r="530" spans="1:24" ht="27.95" x14ac:dyDescent="0.3">
      <c r="A530" s="3">
        <v>524</v>
      </c>
      <c r="B530" s="3" t="str">
        <f>"201200098051"</f>
        <v>201200098051</v>
      </c>
      <c r="C530" s="3">
        <v>42410</v>
      </c>
      <c r="D530" s="3" t="s">
        <v>2272</v>
      </c>
      <c r="E530" s="3">
        <v>20541177010</v>
      </c>
      <c r="F530" s="3" t="s">
        <v>2273</v>
      </c>
      <c r="G530" s="3" t="s">
        <v>2274</v>
      </c>
      <c r="H530" s="3" t="s">
        <v>84</v>
      </c>
      <c r="I530" s="3" t="s">
        <v>421</v>
      </c>
      <c r="J530" s="3" t="s">
        <v>241</v>
      </c>
      <c r="K530" s="3" t="s">
        <v>31</v>
      </c>
      <c r="L530" s="3" t="s">
        <v>2275</v>
      </c>
      <c r="M530" s="3" t="s">
        <v>269</v>
      </c>
      <c r="N530" s="3"/>
      <c r="O530" s="3"/>
      <c r="P530" s="3"/>
      <c r="Q530" s="3"/>
      <c r="R530" s="3"/>
      <c r="S530" s="3"/>
      <c r="T530" s="3"/>
      <c r="U530" s="3">
        <v>684</v>
      </c>
      <c r="V530" s="4">
        <v>41064</v>
      </c>
      <c r="W530" s="3" t="s">
        <v>33</v>
      </c>
      <c r="X530" s="3" t="s">
        <v>1275</v>
      </c>
    </row>
    <row r="531" spans="1:24" ht="27.95" x14ac:dyDescent="0.3">
      <c r="A531" s="3">
        <v>525</v>
      </c>
      <c r="B531" s="3" t="str">
        <f>"201900060817"</f>
        <v>201900060817</v>
      </c>
      <c r="C531" s="3">
        <v>142640</v>
      </c>
      <c r="D531" s="3" t="s">
        <v>2276</v>
      </c>
      <c r="E531" s="3">
        <v>10327305030</v>
      </c>
      <c r="F531" s="3" t="s">
        <v>2277</v>
      </c>
      <c r="G531" s="3" t="s">
        <v>2278</v>
      </c>
      <c r="H531" s="3" t="s">
        <v>514</v>
      </c>
      <c r="I531" s="3" t="s">
        <v>2279</v>
      </c>
      <c r="J531" s="3" t="s">
        <v>2280</v>
      </c>
      <c r="K531" s="3" t="s">
        <v>31</v>
      </c>
      <c r="L531" s="3" t="s">
        <v>236</v>
      </c>
      <c r="M531" s="3" t="s">
        <v>644</v>
      </c>
      <c r="N531" s="3"/>
      <c r="O531" s="3"/>
      <c r="P531" s="3"/>
      <c r="Q531" s="3"/>
      <c r="R531" s="3"/>
      <c r="S531" s="3"/>
      <c r="T531" s="3"/>
      <c r="U531" s="3">
        <v>715</v>
      </c>
      <c r="V531" s="4">
        <v>43572</v>
      </c>
      <c r="W531" s="3" t="s">
        <v>33</v>
      </c>
      <c r="X531" s="3" t="s">
        <v>2277</v>
      </c>
    </row>
    <row r="532" spans="1:24" ht="27.95" x14ac:dyDescent="0.3">
      <c r="A532" s="3">
        <v>526</v>
      </c>
      <c r="B532" s="3" t="str">
        <f>"202000064352"</f>
        <v>202000064352</v>
      </c>
      <c r="C532" s="3">
        <v>131281</v>
      </c>
      <c r="D532" s="3" t="s">
        <v>2281</v>
      </c>
      <c r="E532" s="3">
        <v>10410222383</v>
      </c>
      <c r="F532" s="3" t="s">
        <v>2282</v>
      </c>
      <c r="G532" s="3" t="s">
        <v>2283</v>
      </c>
      <c r="H532" s="3" t="s">
        <v>225</v>
      </c>
      <c r="I532" s="3" t="s">
        <v>402</v>
      </c>
      <c r="J532" s="3" t="s">
        <v>403</v>
      </c>
      <c r="K532" s="3" t="s">
        <v>31</v>
      </c>
      <c r="L532" s="3" t="s">
        <v>181</v>
      </c>
      <c r="M532" s="3" t="s">
        <v>237</v>
      </c>
      <c r="N532" s="3"/>
      <c r="O532" s="3"/>
      <c r="P532" s="3"/>
      <c r="Q532" s="3"/>
      <c r="R532" s="3"/>
      <c r="S532" s="3"/>
      <c r="T532" s="3"/>
      <c r="U532" s="3">
        <v>330</v>
      </c>
      <c r="V532" s="4">
        <v>43992</v>
      </c>
      <c r="W532" s="3" t="s">
        <v>33</v>
      </c>
      <c r="X532" s="3" t="s">
        <v>2284</v>
      </c>
    </row>
    <row r="533" spans="1:24" ht="27.95" x14ac:dyDescent="0.3">
      <c r="A533" s="3">
        <v>527</v>
      </c>
      <c r="B533" s="3" t="str">
        <f>"1777177"</f>
        <v>1777177</v>
      </c>
      <c r="C533" s="3">
        <v>39226</v>
      </c>
      <c r="D533" s="3" t="s">
        <v>2285</v>
      </c>
      <c r="E533" s="3">
        <v>10269318959</v>
      </c>
      <c r="F533" s="3" t="s">
        <v>2286</v>
      </c>
      <c r="G533" s="3" t="s">
        <v>2287</v>
      </c>
      <c r="H533" s="3" t="s">
        <v>194</v>
      </c>
      <c r="I533" s="3" t="s">
        <v>2288</v>
      </c>
      <c r="J533" s="3" t="s">
        <v>2289</v>
      </c>
      <c r="K533" s="3" t="s">
        <v>31</v>
      </c>
      <c r="L533" s="3" t="s">
        <v>139</v>
      </c>
      <c r="M533" s="3" t="s">
        <v>164</v>
      </c>
      <c r="N533" s="3" t="s">
        <v>50</v>
      </c>
      <c r="O533" s="3"/>
      <c r="P533" s="3"/>
      <c r="Q533" s="3"/>
      <c r="R533" s="3"/>
      <c r="S533" s="3"/>
      <c r="T533" s="3"/>
      <c r="U533" s="3">
        <v>1100</v>
      </c>
      <c r="V533" s="4">
        <v>38642</v>
      </c>
      <c r="W533" s="3" t="s">
        <v>33</v>
      </c>
      <c r="X533" s="3" t="s">
        <v>2290</v>
      </c>
    </row>
    <row r="534" spans="1:24" ht="27.95" x14ac:dyDescent="0.3">
      <c r="A534" s="3">
        <v>528</v>
      </c>
      <c r="B534" s="3" t="str">
        <f>"201800119603"</f>
        <v>201800119603</v>
      </c>
      <c r="C534" s="3">
        <v>137576</v>
      </c>
      <c r="D534" s="3" t="s">
        <v>2291</v>
      </c>
      <c r="E534" s="3">
        <v>10322855759</v>
      </c>
      <c r="F534" s="3" t="s">
        <v>2292</v>
      </c>
      <c r="G534" s="3" t="s">
        <v>2293</v>
      </c>
      <c r="H534" s="3" t="s">
        <v>514</v>
      </c>
      <c r="I534" s="3" t="s">
        <v>532</v>
      </c>
      <c r="J534" s="3" t="s">
        <v>2294</v>
      </c>
      <c r="K534" s="3" t="s">
        <v>31</v>
      </c>
      <c r="L534" s="3" t="s">
        <v>236</v>
      </c>
      <c r="M534" s="3" t="s">
        <v>644</v>
      </c>
      <c r="N534" s="3"/>
      <c r="O534" s="3"/>
      <c r="P534" s="3"/>
      <c r="Q534" s="3"/>
      <c r="R534" s="3"/>
      <c r="S534" s="3"/>
      <c r="T534" s="3"/>
      <c r="U534" s="3">
        <v>715</v>
      </c>
      <c r="V534" s="4">
        <v>43301</v>
      </c>
      <c r="W534" s="3" t="s">
        <v>33</v>
      </c>
      <c r="X534" s="3" t="s">
        <v>2292</v>
      </c>
    </row>
    <row r="535" spans="1:24" ht="27.95" x14ac:dyDescent="0.3">
      <c r="A535" s="3">
        <v>529</v>
      </c>
      <c r="B535" s="3" t="str">
        <f>"201800099759"</f>
        <v>201800099759</v>
      </c>
      <c r="C535" s="3">
        <v>96477</v>
      </c>
      <c r="D535" s="3" t="s">
        <v>2295</v>
      </c>
      <c r="E535" s="3">
        <v>10430472696</v>
      </c>
      <c r="F535" s="3" t="s">
        <v>2296</v>
      </c>
      <c r="G535" s="3" t="s">
        <v>2297</v>
      </c>
      <c r="H535" s="3" t="s">
        <v>233</v>
      </c>
      <c r="I535" s="3" t="s">
        <v>637</v>
      </c>
      <c r="J535" s="3" t="s">
        <v>638</v>
      </c>
      <c r="K535" s="3" t="s">
        <v>31</v>
      </c>
      <c r="L535" s="3"/>
      <c r="M535" s="3"/>
      <c r="N535" s="3"/>
      <c r="O535" s="3"/>
      <c r="P535" s="3"/>
      <c r="Q535" s="3" t="s">
        <v>237</v>
      </c>
      <c r="R535" s="3" t="s">
        <v>95</v>
      </c>
      <c r="S535" s="3" t="s">
        <v>50</v>
      </c>
      <c r="T535" s="3"/>
      <c r="U535" s="3">
        <v>715</v>
      </c>
      <c r="V535" s="4">
        <v>43269</v>
      </c>
      <c r="W535" s="3" t="s">
        <v>33</v>
      </c>
      <c r="X535" s="3" t="s">
        <v>2296</v>
      </c>
    </row>
    <row r="536" spans="1:24" ht="27.95" x14ac:dyDescent="0.3">
      <c r="A536" s="3">
        <v>530</v>
      </c>
      <c r="B536" s="3" t="str">
        <f>"1353268"</f>
        <v>1353268</v>
      </c>
      <c r="C536" s="3">
        <v>40164</v>
      </c>
      <c r="D536" s="3" t="s">
        <v>2298</v>
      </c>
      <c r="E536" s="3">
        <v>10335925896</v>
      </c>
      <c r="F536" s="3" t="s">
        <v>2299</v>
      </c>
      <c r="G536" s="3" t="s">
        <v>2300</v>
      </c>
      <c r="H536" s="3" t="s">
        <v>225</v>
      </c>
      <c r="I536" s="3" t="s">
        <v>226</v>
      </c>
      <c r="J536" s="3" t="s">
        <v>1606</v>
      </c>
      <c r="K536" s="3" t="s">
        <v>31</v>
      </c>
      <c r="L536" s="3" t="s">
        <v>164</v>
      </c>
      <c r="M536" s="3" t="s">
        <v>49</v>
      </c>
      <c r="N536" s="3" t="s">
        <v>269</v>
      </c>
      <c r="O536" s="3"/>
      <c r="P536" s="3"/>
      <c r="Q536" s="3"/>
      <c r="R536" s="3"/>
      <c r="S536" s="3"/>
      <c r="T536" s="3"/>
      <c r="U536" s="3">
        <v>660</v>
      </c>
      <c r="V536" s="4">
        <v>37298</v>
      </c>
      <c r="W536" s="3" t="s">
        <v>33</v>
      </c>
      <c r="X536" s="3" t="s">
        <v>2301</v>
      </c>
    </row>
    <row r="537" spans="1:24" ht="27.95" x14ac:dyDescent="0.3">
      <c r="A537" s="3">
        <v>531</v>
      </c>
      <c r="B537" s="3" t="str">
        <f>"1696666"</f>
        <v>1696666</v>
      </c>
      <c r="C537" s="3">
        <v>20035</v>
      </c>
      <c r="D537" s="3" t="s">
        <v>2302</v>
      </c>
      <c r="E537" s="3">
        <v>10015237886</v>
      </c>
      <c r="F537" s="3" t="s">
        <v>2303</v>
      </c>
      <c r="G537" s="3" t="s">
        <v>410</v>
      </c>
      <c r="H537" s="3" t="s">
        <v>45</v>
      </c>
      <c r="I537" s="3" t="s">
        <v>46</v>
      </c>
      <c r="J537" s="3" t="s">
        <v>411</v>
      </c>
      <c r="K537" s="3" t="s">
        <v>31</v>
      </c>
      <c r="L537" s="3" t="s">
        <v>50</v>
      </c>
      <c r="M537" s="3" t="s">
        <v>164</v>
      </c>
      <c r="N537" s="3" t="s">
        <v>139</v>
      </c>
      <c r="O537" s="3"/>
      <c r="P537" s="3"/>
      <c r="Q537" s="3"/>
      <c r="R537" s="3"/>
      <c r="S537" s="3"/>
      <c r="T537" s="3"/>
      <c r="U537" s="3">
        <v>440</v>
      </c>
      <c r="V537" s="4">
        <v>39244</v>
      </c>
      <c r="W537" s="3" t="s">
        <v>33</v>
      </c>
      <c r="X537" s="3" t="s">
        <v>2304</v>
      </c>
    </row>
    <row r="538" spans="1:24" ht="27.95" x14ac:dyDescent="0.3">
      <c r="A538" s="3">
        <v>532</v>
      </c>
      <c r="B538" s="3" t="str">
        <f>"1384791"</f>
        <v>1384791</v>
      </c>
      <c r="C538" s="3">
        <v>33335</v>
      </c>
      <c r="D538" s="3" t="s">
        <v>2305</v>
      </c>
      <c r="E538" s="3">
        <v>10801862085</v>
      </c>
      <c r="F538" s="3" t="s">
        <v>2306</v>
      </c>
      <c r="G538" s="3" t="s">
        <v>2307</v>
      </c>
      <c r="H538" s="3" t="s">
        <v>45</v>
      </c>
      <c r="I538" s="3" t="s">
        <v>45</v>
      </c>
      <c r="J538" s="3" t="s">
        <v>169</v>
      </c>
      <c r="K538" s="3" t="s">
        <v>31</v>
      </c>
      <c r="L538" s="3" t="s">
        <v>1131</v>
      </c>
      <c r="M538" s="3" t="s">
        <v>145</v>
      </c>
      <c r="N538" s="3" t="s">
        <v>48</v>
      </c>
      <c r="O538" s="3"/>
      <c r="P538" s="3"/>
      <c r="Q538" s="3"/>
      <c r="R538" s="3"/>
      <c r="S538" s="3"/>
      <c r="T538" s="3"/>
      <c r="U538" s="3">
        <v>342</v>
      </c>
      <c r="V538" s="4">
        <v>37540</v>
      </c>
      <c r="W538" s="3" t="s">
        <v>33</v>
      </c>
      <c r="X538" s="3" t="s">
        <v>2308</v>
      </c>
    </row>
    <row r="539" spans="1:24" ht="27.95" x14ac:dyDescent="0.3">
      <c r="A539" s="3">
        <v>533</v>
      </c>
      <c r="B539" s="3" t="str">
        <f>"202000127687"</f>
        <v>202000127687</v>
      </c>
      <c r="C539" s="3">
        <v>151425</v>
      </c>
      <c r="D539" s="3" t="s">
        <v>2309</v>
      </c>
      <c r="E539" s="3">
        <v>10043062692</v>
      </c>
      <c r="F539" s="3" t="s">
        <v>2310</v>
      </c>
      <c r="G539" s="3" t="s">
        <v>2311</v>
      </c>
      <c r="H539" s="3" t="s">
        <v>464</v>
      </c>
      <c r="I539" s="3" t="s">
        <v>2312</v>
      </c>
      <c r="J539" s="3" t="s">
        <v>2313</v>
      </c>
      <c r="K539" s="3" t="s">
        <v>31</v>
      </c>
      <c r="L539" s="3" t="s">
        <v>236</v>
      </c>
      <c r="M539" s="3" t="s">
        <v>644</v>
      </c>
      <c r="N539" s="3"/>
      <c r="O539" s="3"/>
      <c r="P539" s="3"/>
      <c r="Q539" s="3"/>
      <c r="R539" s="3"/>
      <c r="S539" s="3"/>
      <c r="T539" s="3"/>
      <c r="U539" s="3">
        <v>715</v>
      </c>
      <c r="V539" s="4">
        <v>44107</v>
      </c>
      <c r="W539" s="3" t="s">
        <v>33</v>
      </c>
      <c r="X539" s="3" t="s">
        <v>2310</v>
      </c>
    </row>
    <row r="540" spans="1:24" ht="27.95" x14ac:dyDescent="0.3">
      <c r="A540" s="3">
        <v>534</v>
      </c>
      <c r="B540" s="3" t="str">
        <f>"1321797"</f>
        <v>1321797</v>
      </c>
      <c r="C540" s="3">
        <v>21050</v>
      </c>
      <c r="D540" s="3" t="s">
        <v>2314</v>
      </c>
      <c r="E540" s="3">
        <v>10335631787</v>
      </c>
      <c r="F540" s="3" t="s">
        <v>2315</v>
      </c>
      <c r="G540" s="3" t="s">
        <v>2316</v>
      </c>
      <c r="H540" s="3" t="s">
        <v>225</v>
      </c>
      <c r="I540" s="3" t="s">
        <v>226</v>
      </c>
      <c r="J540" s="3" t="s">
        <v>1606</v>
      </c>
      <c r="K540" s="3" t="s">
        <v>31</v>
      </c>
      <c r="L540" s="3" t="s">
        <v>50</v>
      </c>
      <c r="M540" s="3" t="s">
        <v>164</v>
      </c>
      <c r="N540" s="3" t="s">
        <v>139</v>
      </c>
      <c r="O540" s="3"/>
      <c r="P540" s="3"/>
      <c r="Q540" s="3"/>
      <c r="R540" s="3"/>
      <c r="S540" s="3"/>
      <c r="T540" s="3"/>
      <c r="U540" s="3">
        <v>1100</v>
      </c>
      <c r="V540" s="4">
        <v>37050</v>
      </c>
      <c r="W540" s="3" t="s">
        <v>33</v>
      </c>
      <c r="X540" s="3" t="s">
        <v>2317</v>
      </c>
    </row>
    <row r="541" spans="1:24" ht="27.95" x14ac:dyDescent="0.3">
      <c r="A541" s="3">
        <v>535</v>
      </c>
      <c r="B541" s="3" t="str">
        <f>"202000035110"</f>
        <v>202000035110</v>
      </c>
      <c r="C541" s="3">
        <v>116388</v>
      </c>
      <c r="D541" s="3" t="s">
        <v>2318</v>
      </c>
      <c r="E541" s="3">
        <v>10405507451</v>
      </c>
      <c r="F541" s="3" t="s">
        <v>2319</v>
      </c>
      <c r="G541" s="3" t="s">
        <v>2320</v>
      </c>
      <c r="H541" s="3" t="s">
        <v>45</v>
      </c>
      <c r="I541" s="3" t="s">
        <v>119</v>
      </c>
      <c r="J541" s="3" t="s">
        <v>290</v>
      </c>
      <c r="K541" s="3" t="s">
        <v>31</v>
      </c>
      <c r="L541" s="3" t="s">
        <v>340</v>
      </c>
      <c r="M541" s="3"/>
      <c r="N541" s="3"/>
      <c r="O541" s="3"/>
      <c r="P541" s="3"/>
      <c r="Q541" s="3"/>
      <c r="R541" s="3"/>
      <c r="S541" s="3"/>
      <c r="T541" s="3"/>
      <c r="U541" s="3">
        <v>715</v>
      </c>
      <c r="V541" s="4">
        <v>43887</v>
      </c>
      <c r="W541" s="3" t="s">
        <v>33</v>
      </c>
      <c r="X541" s="3" t="s">
        <v>2319</v>
      </c>
    </row>
    <row r="542" spans="1:24" ht="27.95" x14ac:dyDescent="0.3">
      <c r="A542" s="3">
        <v>536</v>
      </c>
      <c r="B542" s="3" t="str">
        <f>"201900086070"</f>
        <v>201900086070</v>
      </c>
      <c r="C542" s="3">
        <v>144340</v>
      </c>
      <c r="D542" s="3" t="s">
        <v>2321</v>
      </c>
      <c r="E542" s="3">
        <v>10411021446</v>
      </c>
      <c r="F542" s="3" t="s">
        <v>2322</v>
      </c>
      <c r="G542" s="3" t="s">
        <v>2323</v>
      </c>
      <c r="H542" s="3" t="s">
        <v>28</v>
      </c>
      <c r="I542" s="3" t="s">
        <v>220</v>
      </c>
      <c r="J542" s="3" t="s">
        <v>221</v>
      </c>
      <c r="K542" s="3" t="s">
        <v>31</v>
      </c>
      <c r="L542" s="3" t="s">
        <v>340</v>
      </c>
      <c r="M542" s="3"/>
      <c r="N542" s="3"/>
      <c r="O542" s="3"/>
      <c r="P542" s="3"/>
      <c r="Q542" s="3"/>
      <c r="R542" s="3"/>
      <c r="S542" s="3"/>
      <c r="T542" s="3"/>
      <c r="U542" s="3">
        <v>715</v>
      </c>
      <c r="V542" s="4">
        <v>43619</v>
      </c>
      <c r="W542" s="3" t="s">
        <v>33</v>
      </c>
      <c r="X542" s="3" t="s">
        <v>2322</v>
      </c>
    </row>
    <row r="543" spans="1:24" ht="27.95" x14ac:dyDescent="0.3">
      <c r="A543" s="3">
        <v>537</v>
      </c>
      <c r="B543" s="3" t="str">
        <f>"1615467"</f>
        <v>1615467</v>
      </c>
      <c r="C543" s="3">
        <v>42461</v>
      </c>
      <c r="D543" s="3" t="s">
        <v>2324</v>
      </c>
      <c r="E543" s="3">
        <v>10274349722</v>
      </c>
      <c r="F543" s="3" t="s">
        <v>2325</v>
      </c>
      <c r="G543" s="3" t="s">
        <v>2326</v>
      </c>
      <c r="H543" s="3" t="s">
        <v>84</v>
      </c>
      <c r="I543" s="3" t="s">
        <v>85</v>
      </c>
      <c r="J543" s="3" t="s">
        <v>241</v>
      </c>
      <c r="K543" s="3" t="s">
        <v>31</v>
      </c>
      <c r="L543" s="3" t="s">
        <v>269</v>
      </c>
      <c r="M543" s="3" t="s">
        <v>158</v>
      </c>
      <c r="N543" s="3" t="s">
        <v>108</v>
      </c>
      <c r="O543" s="3"/>
      <c r="P543" s="3"/>
      <c r="Q543" s="3"/>
      <c r="R543" s="3"/>
      <c r="S543" s="3"/>
      <c r="T543" s="3"/>
      <c r="U543" s="3">
        <v>741</v>
      </c>
      <c r="V543" s="4">
        <v>38888</v>
      </c>
      <c r="W543" s="3" t="s">
        <v>33</v>
      </c>
      <c r="X543" s="3" t="s">
        <v>2327</v>
      </c>
    </row>
    <row r="544" spans="1:24" ht="27.95" x14ac:dyDescent="0.3">
      <c r="A544" s="3">
        <v>538</v>
      </c>
      <c r="B544" s="3" t="str">
        <f>"1400867"</f>
        <v>1400867</v>
      </c>
      <c r="C544" s="3">
        <v>33878</v>
      </c>
      <c r="D544" s="3" t="s">
        <v>2328</v>
      </c>
      <c r="E544" s="3">
        <v>10017978603</v>
      </c>
      <c r="F544" s="3" t="s">
        <v>2329</v>
      </c>
      <c r="G544" s="3" t="s">
        <v>2330</v>
      </c>
      <c r="H544" s="3" t="s">
        <v>45</v>
      </c>
      <c r="I544" s="3" t="s">
        <v>105</v>
      </c>
      <c r="J544" s="3" t="s">
        <v>144</v>
      </c>
      <c r="K544" s="3" t="s">
        <v>31</v>
      </c>
      <c r="L544" s="3" t="s">
        <v>50</v>
      </c>
      <c r="M544" s="3" t="s">
        <v>145</v>
      </c>
      <c r="N544" s="3" t="s">
        <v>48</v>
      </c>
      <c r="O544" s="3"/>
      <c r="P544" s="3"/>
      <c r="Q544" s="3"/>
      <c r="R544" s="3"/>
      <c r="S544" s="3"/>
      <c r="T544" s="3"/>
      <c r="U544" s="3">
        <v>342</v>
      </c>
      <c r="V544" s="4">
        <v>37635</v>
      </c>
      <c r="W544" s="3" t="s">
        <v>33</v>
      </c>
      <c r="X544" s="3" t="s">
        <v>2331</v>
      </c>
    </row>
    <row r="545" spans="1:24" ht="27.95" x14ac:dyDescent="0.3">
      <c r="A545" s="3">
        <v>539</v>
      </c>
      <c r="B545" s="3" t="str">
        <f>"201400101126"</f>
        <v>201400101126</v>
      </c>
      <c r="C545" s="3">
        <v>43022</v>
      </c>
      <c r="D545" s="3" t="s">
        <v>2332</v>
      </c>
      <c r="E545" s="3">
        <v>10166749480</v>
      </c>
      <c r="F545" s="3" t="s">
        <v>2333</v>
      </c>
      <c r="G545" s="3" t="s">
        <v>2334</v>
      </c>
      <c r="H545" s="3" t="s">
        <v>788</v>
      </c>
      <c r="I545" s="3" t="s">
        <v>789</v>
      </c>
      <c r="J545" s="3" t="s">
        <v>790</v>
      </c>
      <c r="K545" s="3" t="s">
        <v>31</v>
      </c>
      <c r="L545" s="3" t="s">
        <v>39</v>
      </c>
      <c r="M545" s="3" t="s">
        <v>40</v>
      </c>
      <c r="N545" s="3" t="s">
        <v>41</v>
      </c>
      <c r="O545" s="3"/>
      <c r="P545" s="3"/>
      <c r="Q545" s="3"/>
      <c r="R545" s="3"/>
      <c r="S545" s="3"/>
      <c r="T545" s="3"/>
      <c r="U545" s="3">
        <v>330</v>
      </c>
      <c r="V545" s="4">
        <v>41865</v>
      </c>
      <c r="W545" s="3" t="s">
        <v>33</v>
      </c>
      <c r="X545" s="3" t="s">
        <v>2333</v>
      </c>
    </row>
    <row r="546" spans="1:24" ht="27.95" x14ac:dyDescent="0.3">
      <c r="A546" s="3">
        <v>540</v>
      </c>
      <c r="B546" s="3" t="str">
        <f>"201700133405"</f>
        <v>201700133405</v>
      </c>
      <c r="C546" s="3">
        <v>127631</v>
      </c>
      <c r="D546" s="3" t="s">
        <v>2335</v>
      </c>
      <c r="E546" s="3">
        <v>10001912815</v>
      </c>
      <c r="F546" s="3" t="s">
        <v>2336</v>
      </c>
      <c r="G546" s="3" t="s">
        <v>2337</v>
      </c>
      <c r="H546" s="3" t="s">
        <v>92</v>
      </c>
      <c r="I546" s="3" t="s">
        <v>2338</v>
      </c>
      <c r="J546" s="3" t="s">
        <v>2338</v>
      </c>
      <c r="K546" s="3" t="s">
        <v>31</v>
      </c>
      <c r="L546" s="3" t="s">
        <v>41</v>
      </c>
      <c r="M546" s="3" t="s">
        <v>50</v>
      </c>
      <c r="N546" s="3" t="s">
        <v>264</v>
      </c>
      <c r="O546" s="3"/>
      <c r="P546" s="3"/>
      <c r="Q546" s="3"/>
      <c r="R546" s="3"/>
      <c r="S546" s="3"/>
      <c r="T546" s="3"/>
      <c r="U546" s="3">
        <v>330</v>
      </c>
      <c r="V546" s="4">
        <v>42984</v>
      </c>
      <c r="W546" s="3" t="s">
        <v>33</v>
      </c>
      <c r="X546" s="3" t="s">
        <v>2339</v>
      </c>
    </row>
    <row r="547" spans="1:24" ht="27.95" x14ac:dyDescent="0.3">
      <c r="A547" s="3">
        <v>541</v>
      </c>
      <c r="B547" s="3" t="str">
        <f>"1497252"</f>
        <v>1497252</v>
      </c>
      <c r="C547" s="3">
        <v>20045</v>
      </c>
      <c r="D547" s="3" t="s">
        <v>2340</v>
      </c>
      <c r="E547" s="3">
        <v>10804497647</v>
      </c>
      <c r="F547" s="3" t="s">
        <v>2341</v>
      </c>
      <c r="G547" s="3" t="s">
        <v>2342</v>
      </c>
      <c r="H547" s="3" t="s">
        <v>45</v>
      </c>
      <c r="I547" s="3" t="s">
        <v>214</v>
      </c>
      <c r="J547" s="3" t="s">
        <v>321</v>
      </c>
      <c r="K547" s="3" t="s">
        <v>31</v>
      </c>
      <c r="L547" s="3" t="s">
        <v>1351</v>
      </c>
      <c r="M547" s="3" t="s">
        <v>1296</v>
      </c>
      <c r="N547" s="3" t="s">
        <v>1296</v>
      </c>
      <c r="O547" s="3" t="s">
        <v>428</v>
      </c>
      <c r="P547" s="3" t="s">
        <v>428</v>
      </c>
      <c r="Q547" s="3"/>
      <c r="R547" s="3"/>
      <c r="S547" s="3"/>
      <c r="T547" s="3"/>
      <c r="U547" s="3">
        <v>440</v>
      </c>
      <c r="V547" s="4">
        <v>40770</v>
      </c>
      <c r="W547" s="3" t="s">
        <v>33</v>
      </c>
      <c r="X547" s="3" t="s">
        <v>2341</v>
      </c>
    </row>
    <row r="548" spans="1:24" ht="41.95" x14ac:dyDescent="0.3">
      <c r="A548" s="3">
        <v>542</v>
      </c>
      <c r="B548" s="3" t="str">
        <f>"201300046751"</f>
        <v>201300046751</v>
      </c>
      <c r="C548" s="3">
        <v>18276</v>
      </c>
      <c r="D548" s="3" t="s">
        <v>2343</v>
      </c>
      <c r="E548" s="3">
        <v>10018186409</v>
      </c>
      <c r="F548" s="3" t="s">
        <v>2344</v>
      </c>
      <c r="G548" s="3" t="s">
        <v>2345</v>
      </c>
      <c r="H548" s="3" t="s">
        <v>45</v>
      </c>
      <c r="I548" s="3" t="s">
        <v>440</v>
      </c>
      <c r="J548" s="3" t="s">
        <v>440</v>
      </c>
      <c r="K548" s="3" t="s">
        <v>31</v>
      </c>
      <c r="L548" s="3" t="s">
        <v>182</v>
      </c>
      <c r="M548" s="3" t="s">
        <v>181</v>
      </c>
      <c r="N548" s="3"/>
      <c r="O548" s="3"/>
      <c r="P548" s="3"/>
      <c r="Q548" s="3"/>
      <c r="R548" s="3"/>
      <c r="S548" s="3"/>
      <c r="T548" s="3"/>
      <c r="U548" s="3">
        <v>330</v>
      </c>
      <c r="V548" s="4">
        <v>41336</v>
      </c>
      <c r="W548" s="3" t="s">
        <v>33</v>
      </c>
      <c r="X548" s="3" t="s">
        <v>2344</v>
      </c>
    </row>
    <row r="549" spans="1:24" ht="27.95" x14ac:dyDescent="0.3">
      <c r="A549" s="3">
        <v>543</v>
      </c>
      <c r="B549" s="3" t="str">
        <f>"1486757"</f>
        <v>1486757</v>
      </c>
      <c r="C549" s="3">
        <v>20115</v>
      </c>
      <c r="D549" s="3" t="s">
        <v>2346</v>
      </c>
      <c r="E549" s="3">
        <v>20392362909</v>
      </c>
      <c r="F549" s="3" t="s">
        <v>2347</v>
      </c>
      <c r="G549" s="3" t="s">
        <v>2348</v>
      </c>
      <c r="H549" s="3" t="s">
        <v>225</v>
      </c>
      <c r="I549" s="3" t="s">
        <v>268</v>
      </c>
      <c r="J549" s="3" t="s">
        <v>2349</v>
      </c>
      <c r="K549" s="3" t="s">
        <v>31</v>
      </c>
      <c r="L549" s="3" t="s">
        <v>164</v>
      </c>
      <c r="M549" s="3" t="s">
        <v>50</v>
      </c>
      <c r="N549" s="3" t="s">
        <v>139</v>
      </c>
      <c r="O549" s="3"/>
      <c r="P549" s="3"/>
      <c r="Q549" s="3"/>
      <c r="R549" s="3"/>
      <c r="S549" s="3"/>
      <c r="T549" s="3"/>
      <c r="U549" s="3">
        <v>1100</v>
      </c>
      <c r="V549" s="4">
        <v>38217</v>
      </c>
      <c r="W549" s="3" t="s">
        <v>33</v>
      </c>
      <c r="X549" s="3" t="s">
        <v>2350</v>
      </c>
    </row>
    <row r="550" spans="1:24" ht="27.95" x14ac:dyDescent="0.3">
      <c r="A550" s="3">
        <v>544</v>
      </c>
      <c r="B550" s="3" t="str">
        <f>"201700149340"</f>
        <v>201700149340</v>
      </c>
      <c r="C550" s="3">
        <v>131795</v>
      </c>
      <c r="D550" s="3" t="s">
        <v>2351</v>
      </c>
      <c r="E550" s="3">
        <v>10227499520</v>
      </c>
      <c r="F550" s="3" t="s">
        <v>2352</v>
      </c>
      <c r="G550" s="3" t="s">
        <v>2353</v>
      </c>
      <c r="H550" s="3" t="s">
        <v>73</v>
      </c>
      <c r="I550" s="3" t="s">
        <v>74</v>
      </c>
      <c r="J550" s="3" t="s">
        <v>1186</v>
      </c>
      <c r="K550" s="3" t="s">
        <v>31</v>
      </c>
      <c r="L550" s="3" t="s">
        <v>1416</v>
      </c>
      <c r="M550" s="3"/>
      <c r="N550" s="3"/>
      <c r="O550" s="3"/>
      <c r="P550" s="3"/>
      <c r="Q550" s="3"/>
      <c r="R550" s="3"/>
      <c r="S550" s="3"/>
      <c r="T550" s="3"/>
      <c r="U550" s="3">
        <v>330</v>
      </c>
      <c r="V550" s="4">
        <v>42998</v>
      </c>
      <c r="W550" s="3" t="s">
        <v>33</v>
      </c>
      <c r="X550" s="3" t="s">
        <v>2352</v>
      </c>
    </row>
    <row r="551" spans="1:24" ht="27.95" x14ac:dyDescent="0.3">
      <c r="A551" s="3">
        <v>545</v>
      </c>
      <c r="B551" s="3" t="str">
        <f>"201400118162"</f>
        <v>201400118162</v>
      </c>
      <c r="C551" s="3">
        <v>42849</v>
      </c>
      <c r="D551" s="3" t="s">
        <v>2354</v>
      </c>
      <c r="E551" s="3">
        <v>20568282656</v>
      </c>
      <c r="F551" s="3" t="s">
        <v>2355</v>
      </c>
      <c r="G551" s="3" t="s">
        <v>2356</v>
      </c>
      <c r="H551" s="3" t="s">
        <v>37</v>
      </c>
      <c r="I551" s="3" t="s">
        <v>1542</v>
      </c>
      <c r="J551" s="3" t="s">
        <v>2357</v>
      </c>
      <c r="K551" s="3" t="s">
        <v>31</v>
      </c>
      <c r="L551" s="3" t="s">
        <v>2358</v>
      </c>
      <c r="M551" s="3"/>
      <c r="N551" s="3"/>
      <c r="O551" s="3" t="s">
        <v>41</v>
      </c>
      <c r="P551" s="3"/>
      <c r="Q551" s="3"/>
      <c r="R551" s="3"/>
      <c r="S551" s="3"/>
      <c r="T551" s="3"/>
      <c r="U551" s="3">
        <v>330</v>
      </c>
      <c r="V551" s="4">
        <v>41905</v>
      </c>
      <c r="W551" s="3" t="s">
        <v>33</v>
      </c>
      <c r="X551" s="3" t="s">
        <v>2359</v>
      </c>
    </row>
    <row r="552" spans="1:24" ht="27.95" x14ac:dyDescent="0.3">
      <c r="A552" s="3">
        <v>546</v>
      </c>
      <c r="B552" s="3" t="str">
        <f>"201900198732"</f>
        <v>201900198732</v>
      </c>
      <c r="C552" s="3">
        <v>148071</v>
      </c>
      <c r="D552" s="3" t="s">
        <v>2360</v>
      </c>
      <c r="E552" s="3">
        <v>10083369162</v>
      </c>
      <c r="F552" s="3" t="s">
        <v>2361</v>
      </c>
      <c r="G552" s="3" t="s">
        <v>2362</v>
      </c>
      <c r="H552" s="3" t="s">
        <v>92</v>
      </c>
      <c r="I552" s="3" t="s">
        <v>2338</v>
      </c>
      <c r="J552" s="3" t="s">
        <v>2338</v>
      </c>
      <c r="K552" s="3" t="s">
        <v>31</v>
      </c>
      <c r="L552" s="3" t="s">
        <v>115</v>
      </c>
      <c r="M552" s="3" t="s">
        <v>115</v>
      </c>
      <c r="N552" s="3"/>
      <c r="O552" s="3"/>
      <c r="P552" s="3"/>
      <c r="Q552" s="3"/>
      <c r="R552" s="3"/>
      <c r="S552" s="3"/>
      <c r="T552" s="3"/>
      <c r="U552" s="3">
        <v>715</v>
      </c>
      <c r="V552" s="4">
        <v>43803</v>
      </c>
      <c r="W552" s="3" t="s">
        <v>33</v>
      </c>
      <c r="X552" s="3" t="s">
        <v>2361</v>
      </c>
    </row>
    <row r="553" spans="1:24" ht="27.95" x14ac:dyDescent="0.3">
      <c r="A553" s="3">
        <v>547</v>
      </c>
      <c r="B553" s="3" t="str">
        <f>"201800191584"</f>
        <v>201800191584</v>
      </c>
      <c r="C553" s="3">
        <v>139744</v>
      </c>
      <c r="D553" s="3" t="s">
        <v>2363</v>
      </c>
      <c r="E553" s="3">
        <v>10165636762</v>
      </c>
      <c r="F553" s="3" t="s">
        <v>2364</v>
      </c>
      <c r="G553" s="3" t="s">
        <v>2365</v>
      </c>
      <c r="H553" s="3" t="s">
        <v>344</v>
      </c>
      <c r="I553" s="3" t="s">
        <v>345</v>
      </c>
      <c r="J553" s="3" t="s">
        <v>346</v>
      </c>
      <c r="K553" s="3" t="s">
        <v>31</v>
      </c>
      <c r="L553" s="3" t="s">
        <v>347</v>
      </c>
      <c r="M553" s="3"/>
      <c r="N553" s="3"/>
      <c r="O553" s="3"/>
      <c r="P553" s="3"/>
      <c r="Q553" s="3"/>
      <c r="R553" s="3"/>
      <c r="S553" s="3"/>
      <c r="T553" s="3"/>
      <c r="U553" s="3">
        <v>715</v>
      </c>
      <c r="V553" s="4">
        <v>43426</v>
      </c>
      <c r="W553" s="3" t="s">
        <v>33</v>
      </c>
      <c r="X553" s="3" t="s">
        <v>2364</v>
      </c>
    </row>
    <row r="554" spans="1:24" ht="27.95" x14ac:dyDescent="0.3">
      <c r="A554" s="3">
        <v>548</v>
      </c>
      <c r="B554" s="3" t="str">
        <f>"201300047789"</f>
        <v>201300047789</v>
      </c>
      <c r="C554" s="3">
        <v>37440</v>
      </c>
      <c r="D554" s="3" t="s">
        <v>2366</v>
      </c>
      <c r="E554" s="3">
        <v>10013001257</v>
      </c>
      <c r="F554" s="3" t="s">
        <v>2367</v>
      </c>
      <c r="G554" s="3" t="s">
        <v>2368</v>
      </c>
      <c r="H554" s="3" t="s">
        <v>45</v>
      </c>
      <c r="I554" s="3" t="s">
        <v>45</v>
      </c>
      <c r="J554" s="3" t="s">
        <v>994</v>
      </c>
      <c r="K554" s="3" t="s">
        <v>31</v>
      </c>
      <c r="L554" s="3" t="s">
        <v>182</v>
      </c>
      <c r="M554" s="3" t="s">
        <v>181</v>
      </c>
      <c r="N554" s="3"/>
      <c r="O554" s="3"/>
      <c r="P554" s="3"/>
      <c r="Q554" s="3"/>
      <c r="R554" s="3"/>
      <c r="S554" s="3"/>
      <c r="T554" s="3"/>
      <c r="U554" s="3">
        <v>330</v>
      </c>
      <c r="V554" s="4">
        <v>41346</v>
      </c>
      <c r="W554" s="3" t="s">
        <v>33</v>
      </c>
      <c r="X554" s="3" t="s">
        <v>2367</v>
      </c>
    </row>
    <row r="555" spans="1:24" ht="27.95" x14ac:dyDescent="0.3">
      <c r="A555" s="3">
        <v>549</v>
      </c>
      <c r="B555" s="3" t="str">
        <f>"201400044596"</f>
        <v>201400044596</v>
      </c>
      <c r="C555" s="3">
        <v>17940</v>
      </c>
      <c r="D555" s="3" t="s">
        <v>2369</v>
      </c>
      <c r="E555" s="3">
        <v>10017007128</v>
      </c>
      <c r="F555" s="3" t="s">
        <v>2370</v>
      </c>
      <c r="G555" s="3" t="s">
        <v>2371</v>
      </c>
      <c r="H555" s="3" t="s">
        <v>45</v>
      </c>
      <c r="I555" s="3" t="s">
        <v>119</v>
      </c>
      <c r="J555" s="3" t="s">
        <v>519</v>
      </c>
      <c r="K555" s="3" t="s">
        <v>31</v>
      </c>
      <c r="L555" s="3" t="s">
        <v>121</v>
      </c>
      <c r="M555" s="3" t="s">
        <v>64</v>
      </c>
      <c r="N555" s="3"/>
      <c r="O555" s="3"/>
      <c r="P555" s="3"/>
      <c r="Q555" s="3"/>
      <c r="R555" s="3"/>
      <c r="S555" s="3"/>
      <c r="T555" s="3"/>
      <c r="U555" s="3">
        <v>330</v>
      </c>
      <c r="V555" s="4">
        <v>41738</v>
      </c>
      <c r="W555" s="3" t="s">
        <v>33</v>
      </c>
      <c r="X555" s="3" t="s">
        <v>2370</v>
      </c>
    </row>
    <row r="556" spans="1:24" ht="27.95" x14ac:dyDescent="0.3">
      <c r="A556" s="3">
        <v>550</v>
      </c>
      <c r="B556" s="3" t="str">
        <f>"201400094066"</f>
        <v>201400094066</v>
      </c>
      <c r="C556" s="3">
        <v>110155</v>
      </c>
      <c r="D556" s="3" t="s">
        <v>2372</v>
      </c>
      <c r="E556" s="3">
        <v>10406355263</v>
      </c>
      <c r="F556" s="3" t="s">
        <v>2373</v>
      </c>
      <c r="G556" s="3" t="s">
        <v>2374</v>
      </c>
      <c r="H556" s="3" t="s">
        <v>233</v>
      </c>
      <c r="I556" s="3" t="s">
        <v>504</v>
      </c>
      <c r="J556" s="3" t="s">
        <v>700</v>
      </c>
      <c r="K556" s="3" t="s">
        <v>31</v>
      </c>
      <c r="L556" s="3" t="s">
        <v>506</v>
      </c>
      <c r="M556" s="3"/>
      <c r="N556" s="3"/>
      <c r="O556" s="3"/>
      <c r="P556" s="3"/>
      <c r="Q556" s="3"/>
      <c r="R556" s="3"/>
      <c r="S556" s="3"/>
      <c r="T556" s="3"/>
      <c r="U556" s="3">
        <v>330</v>
      </c>
      <c r="V556" s="4">
        <v>41840</v>
      </c>
      <c r="W556" s="3" t="s">
        <v>33</v>
      </c>
      <c r="X556" s="3" t="s">
        <v>2373</v>
      </c>
    </row>
    <row r="557" spans="1:24" ht="27.95" x14ac:dyDescent="0.3">
      <c r="A557" s="3">
        <v>551</v>
      </c>
      <c r="B557" s="3" t="str">
        <f>"1346982"</f>
        <v>1346982</v>
      </c>
      <c r="C557" s="3">
        <v>18603</v>
      </c>
      <c r="D557" s="3" t="s">
        <v>2375</v>
      </c>
      <c r="E557" s="3">
        <v>10025285447</v>
      </c>
      <c r="F557" s="3" t="s">
        <v>2376</v>
      </c>
      <c r="G557" s="3" t="s">
        <v>2377</v>
      </c>
      <c r="H557" s="3" t="s">
        <v>45</v>
      </c>
      <c r="I557" s="3" t="s">
        <v>448</v>
      </c>
      <c r="J557" s="3" t="s">
        <v>724</v>
      </c>
      <c r="K557" s="3" t="s">
        <v>31</v>
      </c>
      <c r="L557" s="3" t="s">
        <v>49</v>
      </c>
      <c r="M557" s="3" t="s">
        <v>50</v>
      </c>
      <c r="N557" s="3" t="s">
        <v>48</v>
      </c>
      <c r="O557" s="3"/>
      <c r="P557" s="3"/>
      <c r="Q557" s="3"/>
      <c r="R557" s="3"/>
      <c r="S557" s="3"/>
      <c r="T557" s="3"/>
      <c r="U557" s="3">
        <v>440</v>
      </c>
      <c r="V557" s="4">
        <v>37215</v>
      </c>
      <c r="W557" s="3" t="s">
        <v>33</v>
      </c>
      <c r="X557" s="3" t="s">
        <v>2378</v>
      </c>
    </row>
    <row r="558" spans="1:24" ht="41.95" x14ac:dyDescent="0.3">
      <c r="A558" s="3">
        <v>552</v>
      </c>
      <c r="B558" s="3" t="str">
        <f>"201800161090"</f>
        <v>201800161090</v>
      </c>
      <c r="C558" s="3">
        <v>138862</v>
      </c>
      <c r="D558" s="3" t="s">
        <v>2379</v>
      </c>
      <c r="E558" s="3">
        <v>10021511566</v>
      </c>
      <c r="F558" s="3" t="s">
        <v>2380</v>
      </c>
      <c r="G558" s="3" t="s">
        <v>2381</v>
      </c>
      <c r="H558" s="3" t="s">
        <v>45</v>
      </c>
      <c r="I558" s="3" t="s">
        <v>252</v>
      </c>
      <c r="J558" s="3" t="s">
        <v>253</v>
      </c>
      <c r="K558" s="3" t="s">
        <v>31</v>
      </c>
      <c r="L558" s="3" t="s">
        <v>340</v>
      </c>
      <c r="M558" s="3"/>
      <c r="N558" s="3"/>
      <c r="O558" s="3"/>
      <c r="P558" s="3"/>
      <c r="Q558" s="3"/>
      <c r="R558" s="3"/>
      <c r="S558" s="3"/>
      <c r="T558" s="3"/>
      <c r="U558" s="3">
        <v>715</v>
      </c>
      <c r="V558" s="4">
        <v>43371</v>
      </c>
      <c r="W558" s="3" t="s">
        <v>33</v>
      </c>
      <c r="X558" s="3" t="s">
        <v>2380</v>
      </c>
    </row>
    <row r="559" spans="1:24" ht="27.95" x14ac:dyDescent="0.3">
      <c r="A559" s="3">
        <v>553</v>
      </c>
      <c r="B559" s="3" t="str">
        <f>"201400151005"</f>
        <v>201400151005</v>
      </c>
      <c r="C559" s="3">
        <v>21194</v>
      </c>
      <c r="D559" s="3" t="s">
        <v>2382</v>
      </c>
      <c r="E559" s="3">
        <v>20352088286</v>
      </c>
      <c r="F559" s="3" t="s">
        <v>2383</v>
      </c>
      <c r="G559" s="3" t="s">
        <v>2384</v>
      </c>
      <c r="H559" s="3" t="s">
        <v>92</v>
      </c>
      <c r="I559" s="3" t="s">
        <v>655</v>
      </c>
      <c r="J559" s="3" t="s">
        <v>920</v>
      </c>
      <c r="K559" s="3" t="s">
        <v>31</v>
      </c>
      <c r="L559" s="3"/>
      <c r="M559" s="3" t="s">
        <v>50</v>
      </c>
      <c r="N559" s="3" t="s">
        <v>264</v>
      </c>
      <c r="O559" s="3" t="s">
        <v>41</v>
      </c>
      <c r="P559" s="3"/>
      <c r="Q559" s="3"/>
      <c r="R559" s="3"/>
      <c r="S559" s="3"/>
      <c r="T559" s="3"/>
      <c r="U559" s="3">
        <v>330</v>
      </c>
      <c r="V559" s="4">
        <v>41969</v>
      </c>
      <c r="W559" s="3" t="s">
        <v>33</v>
      </c>
      <c r="X559" s="3" t="s">
        <v>2385</v>
      </c>
    </row>
    <row r="560" spans="1:24" ht="27.95" x14ac:dyDescent="0.3">
      <c r="A560" s="3">
        <v>554</v>
      </c>
      <c r="B560" s="3" t="str">
        <f>"201300048642"</f>
        <v>201300048642</v>
      </c>
      <c r="C560" s="3">
        <v>91532</v>
      </c>
      <c r="D560" s="3" t="s">
        <v>2386</v>
      </c>
      <c r="E560" s="3">
        <v>10421690567</v>
      </c>
      <c r="F560" s="3" t="s">
        <v>2387</v>
      </c>
      <c r="G560" s="3" t="s">
        <v>2388</v>
      </c>
      <c r="H560" s="3" t="s">
        <v>45</v>
      </c>
      <c r="I560" s="3" t="s">
        <v>46</v>
      </c>
      <c r="J560" s="3" t="s">
        <v>163</v>
      </c>
      <c r="K560" s="3" t="s">
        <v>31</v>
      </c>
      <c r="L560" s="3" t="s">
        <v>182</v>
      </c>
      <c r="M560" s="3" t="s">
        <v>181</v>
      </c>
      <c r="N560" s="3"/>
      <c r="O560" s="3"/>
      <c r="P560" s="3"/>
      <c r="Q560" s="3"/>
      <c r="R560" s="3"/>
      <c r="S560" s="3"/>
      <c r="T560" s="3"/>
      <c r="U560" s="3">
        <v>330</v>
      </c>
      <c r="V560" s="4">
        <v>41346</v>
      </c>
      <c r="W560" s="3" t="s">
        <v>33</v>
      </c>
      <c r="X560" s="3" t="s">
        <v>2387</v>
      </c>
    </row>
    <row r="561" spans="1:24" ht="27.95" x14ac:dyDescent="0.3">
      <c r="A561" s="3">
        <v>555</v>
      </c>
      <c r="B561" s="3" t="str">
        <f>"201500081946"</f>
        <v>201500081946</v>
      </c>
      <c r="C561" s="3">
        <v>107626</v>
      </c>
      <c r="D561" s="3" t="s">
        <v>2389</v>
      </c>
      <c r="E561" s="3">
        <v>10020644007</v>
      </c>
      <c r="F561" s="3" t="s">
        <v>2390</v>
      </c>
      <c r="G561" s="3" t="s">
        <v>2391</v>
      </c>
      <c r="H561" s="3" t="s">
        <v>45</v>
      </c>
      <c r="I561" s="3" t="s">
        <v>179</v>
      </c>
      <c r="J561" s="3" t="s">
        <v>180</v>
      </c>
      <c r="K561" s="3" t="s">
        <v>31</v>
      </c>
      <c r="L561" s="3" t="s">
        <v>64</v>
      </c>
      <c r="M561" s="3" t="s">
        <v>182</v>
      </c>
      <c r="N561" s="3"/>
      <c r="O561" s="3"/>
      <c r="P561" s="3"/>
      <c r="Q561" s="3"/>
      <c r="R561" s="3"/>
      <c r="S561" s="3"/>
      <c r="T561" s="3"/>
      <c r="U561" s="3">
        <v>330</v>
      </c>
      <c r="V561" s="4">
        <v>42209</v>
      </c>
      <c r="W561" s="3" t="s">
        <v>33</v>
      </c>
      <c r="X561" s="3" t="s">
        <v>2390</v>
      </c>
    </row>
    <row r="562" spans="1:24" ht="27.95" x14ac:dyDescent="0.3">
      <c r="A562" s="3">
        <v>556</v>
      </c>
      <c r="B562" s="3" t="str">
        <f>"201900118756"</f>
        <v>201900118756</v>
      </c>
      <c r="C562" s="3">
        <v>145409</v>
      </c>
      <c r="D562" s="3" t="s">
        <v>2392</v>
      </c>
      <c r="E562" s="3">
        <v>10458853831</v>
      </c>
      <c r="F562" s="3" t="s">
        <v>2393</v>
      </c>
      <c r="G562" s="3" t="s">
        <v>2394</v>
      </c>
      <c r="H562" s="3" t="s">
        <v>45</v>
      </c>
      <c r="I562" s="3" t="s">
        <v>214</v>
      </c>
      <c r="J562" s="3" t="s">
        <v>321</v>
      </c>
      <c r="K562" s="3" t="s">
        <v>31</v>
      </c>
      <c r="L562" s="3" t="s">
        <v>340</v>
      </c>
      <c r="M562" s="3"/>
      <c r="N562" s="3"/>
      <c r="O562" s="3"/>
      <c r="P562" s="3"/>
      <c r="Q562" s="3"/>
      <c r="R562" s="3"/>
      <c r="S562" s="3"/>
      <c r="T562" s="3"/>
      <c r="U562" s="3">
        <v>715</v>
      </c>
      <c r="V562" s="4">
        <v>43811</v>
      </c>
      <c r="W562" s="3" t="s">
        <v>33</v>
      </c>
      <c r="X562" s="3" t="s">
        <v>2393</v>
      </c>
    </row>
    <row r="563" spans="1:24" ht="27.95" x14ac:dyDescent="0.3">
      <c r="A563" s="3">
        <v>557</v>
      </c>
      <c r="B563" s="3" t="str">
        <f>"201800118885"</f>
        <v>201800118885</v>
      </c>
      <c r="C563" s="3">
        <v>124344</v>
      </c>
      <c r="D563" s="3" t="s">
        <v>2395</v>
      </c>
      <c r="E563" s="3">
        <v>20602864147</v>
      </c>
      <c r="F563" s="3" t="s">
        <v>2396</v>
      </c>
      <c r="G563" s="3" t="s">
        <v>2397</v>
      </c>
      <c r="H563" s="3" t="s">
        <v>28</v>
      </c>
      <c r="I563" s="3" t="s">
        <v>579</v>
      </c>
      <c r="J563" s="3" t="s">
        <v>580</v>
      </c>
      <c r="K563" s="3" t="s">
        <v>31</v>
      </c>
      <c r="L563" s="3" t="s">
        <v>806</v>
      </c>
      <c r="M563" s="3"/>
      <c r="N563" s="3"/>
      <c r="O563" s="3"/>
      <c r="P563" s="3"/>
      <c r="Q563" s="3"/>
      <c r="R563" s="3"/>
      <c r="S563" s="3"/>
      <c r="T563" s="3"/>
      <c r="U563" s="3">
        <v>330</v>
      </c>
      <c r="V563" s="4">
        <v>43301</v>
      </c>
      <c r="W563" s="3" t="s">
        <v>33</v>
      </c>
      <c r="X563" s="3" t="s">
        <v>2398</v>
      </c>
    </row>
    <row r="564" spans="1:24" ht="27.95" x14ac:dyDescent="0.3">
      <c r="A564" s="3">
        <v>558</v>
      </c>
      <c r="B564" s="3" t="str">
        <f>"201900198244"</f>
        <v>201900198244</v>
      </c>
      <c r="C564" s="3">
        <v>148070</v>
      </c>
      <c r="D564" s="3" t="s">
        <v>2399</v>
      </c>
      <c r="E564" s="3">
        <v>10446440328</v>
      </c>
      <c r="F564" s="3" t="s">
        <v>2400</v>
      </c>
      <c r="G564" s="3" t="s">
        <v>2401</v>
      </c>
      <c r="H564" s="3" t="s">
        <v>225</v>
      </c>
      <c r="I564" s="3" t="s">
        <v>268</v>
      </c>
      <c r="J564" s="3" t="s">
        <v>2349</v>
      </c>
      <c r="K564" s="3" t="s">
        <v>31</v>
      </c>
      <c r="L564" s="3" t="s">
        <v>854</v>
      </c>
      <c r="M564" s="3"/>
      <c r="N564" s="3"/>
      <c r="O564" s="3"/>
      <c r="P564" s="3"/>
      <c r="Q564" s="3"/>
      <c r="R564" s="3"/>
      <c r="S564" s="3"/>
      <c r="T564" s="3"/>
      <c r="U564" s="3">
        <v>715</v>
      </c>
      <c r="V564" s="4">
        <v>43805</v>
      </c>
      <c r="W564" s="3" t="s">
        <v>33</v>
      </c>
      <c r="X564" s="3" t="s">
        <v>2400</v>
      </c>
    </row>
    <row r="565" spans="1:24" ht="27.95" x14ac:dyDescent="0.3">
      <c r="A565" s="3">
        <v>559</v>
      </c>
      <c r="B565" s="3" t="str">
        <f>"1292763"</f>
        <v>1292763</v>
      </c>
      <c r="C565" s="3">
        <v>20050</v>
      </c>
      <c r="D565" s="3" t="s">
        <v>2402</v>
      </c>
      <c r="E565" s="3">
        <v>10013403789</v>
      </c>
      <c r="F565" s="3" t="s">
        <v>2403</v>
      </c>
      <c r="G565" s="3" t="s">
        <v>2404</v>
      </c>
      <c r="H565" s="3" t="s">
        <v>45</v>
      </c>
      <c r="I565" s="3" t="s">
        <v>214</v>
      </c>
      <c r="J565" s="3" t="s">
        <v>1946</v>
      </c>
      <c r="K565" s="3" t="s">
        <v>31</v>
      </c>
      <c r="L565" s="3" t="s">
        <v>49</v>
      </c>
      <c r="M565" s="3" t="s">
        <v>50</v>
      </c>
      <c r="N565" s="3" t="s">
        <v>48</v>
      </c>
      <c r="O565" s="3"/>
      <c r="P565" s="3"/>
      <c r="Q565" s="3"/>
      <c r="R565" s="3"/>
      <c r="S565" s="3"/>
      <c r="T565" s="3"/>
      <c r="U565" s="3">
        <v>440</v>
      </c>
      <c r="V565" s="4">
        <v>36725</v>
      </c>
      <c r="W565" s="3" t="s">
        <v>33</v>
      </c>
      <c r="X565" s="3" t="s">
        <v>2405</v>
      </c>
    </row>
    <row r="566" spans="1:24" ht="27.95" x14ac:dyDescent="0.3">
      <c r="A566" s="3">
        <v>560</v>
      </c>
      <c r="B566" s="3" t="str">
        <f>"1671676"</f>
        <v>1671676</v>
      </c>
      <c r="C566" s="3">
        <v>34692</v>
      </c>
      <c r="D566" s="3" t="s">
        <v>2406</v>
      </c>
      <c r="E566" s="3">
        <v>10274239901</v>
      </c>
      <c r="F566" s="3" t="s">
        <v>731</v>
      </c>
      <c r="G566" s="3" t="s">
        <v>2407</v>
      </c>
      <c r="H566" s="3" t="s">
        <v>225</v>
      </c>
      <c r="I566" s="3" t="s">
        <v>226</v>
      </c>
      <c r="J566" s="3" t="s">
        <v>227</v>
      </c>
      <c r="K566" s="3" t="s">
        <v>31</v>
      </c>
      <c r="L566" s="3" t="s">
        <v>107</v>
      </c>
      <c r="M566" s="3" t="s">
        <v>50</v>
      </c>
      <c r="N566" s="3" t="s">
        <v>197</v>
      </c>
      <c r="O566" s="3"/>
      <c r="P566" s="3"/>
      <c r="Q566" s="3"/>
      <c r="R566" s="3"/>
      <c r="S566" s="3"/>
      <c r="T566" s="3"/>
      <c r="U566" s="3">
        <v>342</v>
      </c>
      <c r="V566" s="4">
        <v>39119</v>
      </c>
      <c r="W566" s="3" t="s">
        <v>33</v>
      </c>
      <c r="X566" s="3" t="s">
        <v>735</v>
      </c>
    </row>
    <row r="567" spans="1:24" ht="27.95" x14ac:dyDescent="0.3">
      <c r="A567" s="3">
        <v>561</v>
      </c>
      <c r="B567" s="3" t="str">
        <f>"201800125077"</f>
        <v>201800125077</v>
      </c>
      <c r="C567" s="3">
        <v>34487</v>
      </c>
      <c r="D567" s="3" t="s">
        <v>2408</v>
      </c>
      <c r="E567" s="3">
        <v>10460232959</v>
      </c>
      <c r="F567" s="3" t="s">
        <v>2409</v>
      </c>
      <c r="G567" s="3" t="s">
        <v>2410</v>
      </c>
      <c r="H567" s="3" t="s">
        <v>45</v>
      </c>
      <c r="I567" s="3" t="s">
        <v>448</v>
      </c>
      <c r="J567" s="3" t="s">
        <v>1887</v>
      </c>
      <c r="K567" s="3" t="s">
        <v>31</v>
      </c>
      <c r="L567" s="3" t="s">
        <v>340</v>
      </c>
      <c r="M567" s="3"/>
      <c r="N567" s="3"/>
      <c r="O567" s="3"/>
      <c r="P567" s="3"/>
      <c r="Q567" s="3"/>
      <c r="R567" s="3"/>
      <c r="S567" s="3"/>
      <c r="T567" s="3"/>
      <c r="U567" s="3">
        <v>715</v>
      </c>
      <c r="V567" s="4">
        <v>43375</v>
      </c>
      <c r="W567" s="3" t="s">
        <v>33</v>
      </c>
      <c r="X567" s="3" t="s">
        <v>2409</v>
      </c>
    </row>
    <row r="568" spans="1:24" ht="27.95" x14ac:dyDescent="0.3">
      <c r="A568" s="3">
        <v>562</v>
      </c>
      <c r="B568" s="3" t="str">
        <f>"201800177230"</f>
        <v>201800177230</v>
      </c>
      <c r="C568" s="3">
        <v>99589</v>
      </c>
      <c r="D568" s="3" t="s">
        <v>2411</v>
      </c>
      <c r="E568" s="3">
        <v>10195585500</v>
      </c>
      <c r="F568" s="3" t="s">
        <v>1335</v>
      </c>
      <c r="G568" s="3" t="s">
        <v>2412</v>
      </c>
      <c r="H568" s="3" t="s">
        <v>84</v>
      </c>
      <c r="I568" s="3" t="s">
        <v>421</v>
      </c>
      <c r="J568" s="3" t="s">
        <v>422</v>
      </c>
      <c r="K568" s="3" t="s">
        <v>31</v>
      </c>
      <c r="L568" s="3" t="s">
        <v>95</v>
      </c>
      <c r="M568" s="3" t="s">
        <v>269</v>
      </c>
      <c r="N568" s="3"/>
      <c r="O568" s="3"/>
      <c r="P568" s="3"/>
      <c r="Q568" s="3"/>
      <c r="R568" s="3"/>
      <c r="S568" s="3"/>
      <c r="T568" s="3"/>
      <c r="U568" s="3">
        <v>715</v>
      </c>
      <c r="V568" s="4">
        <v>43397</v>
      </c>
      <c r="W568" s="3" t="s">
        <v>33</v>
      </c>
      <c r="X568" s="3" t="s">
        <v>1335</v>
      </c>
    </row>
    <row r="569" spans="1:24" ht="27.95" x14ac:dyDescent="0.3">
      <c r="A569" s="3">
        <v>563</v>
      </c>
      <c r="B569" s="3" t="str">
        <f>"1450010"</f>
        <v>1450010</v>
      </c>
      <c r="C569" s="3">
        <v>20077</v>
      </c>
      <c r="D569" s="3" t="s">
        <v>2413</v>
      </c>
      <c r="E569" s="3">
        <v>10025284122</v>
      </c>
      <c r="F569" s="3" t="s">
        <v>2414</v>
      </c>
      <c r="G569" s="3" t="s">
        <v>2415</v>
      </c>
      <c r="H569" s="3" t="s">
        <v>45</v>
      </c>
      <c r="I569" s="3" t="s">
        <v>448</v>
      </c>
      <c r="J569" s="3" t="s">
        <v>724</v>
      </c>
      <c r="K569" s="3" t="s">
        <v>31</v>
      </c>
      <c r="L569" s="3" t="s">
        <v>139</v>
      </c>
      <c r="M569" s="3" t="s">
        <v>164</v>
      </c>
      <c r="N569" s="3" t="s">
        <v>50</v>
      </c>
      <c r="O569" s="3"/>
      <c r="P569" s="3"/>
      <c r="Q569" s="3"/>
      <c r="R569" s="3"/>
      <c r="S569" s="3"/>
      <c r="T569" s="3"/>
      <c r="U569" s="3">
        <v>440</v>
      </c>
      <c r="V569" s="4">
        <v>37974</v>
      </c>
      <c r="W569" s="3" t="s">
        <v>33</v>
      </c>
      <c r="X569" s="3" t="s">
        <v>2416</v>
      </c>
    </row>
    <row r="570" spans="1:24" ht="27.95" x14ac:dyDescent="0.3">
      <c r="A570" s="3">
        <v>564</v>
      </c>
      <c r="B570" s="3" t="str">
        <f>"201800002063"</f>
        <v>201800002063</v>
      </c>
      <c r="C570" s="3">
        <v>20044</v>
      </c>
      <c r="D570" s="3" t="s">
        <v>2417</v>
      </c>
      <c r="E570" s="3">
        <v>10017616761</v>
      </c>
      <c r="F570" s="3" t="s">
        <v>2418</v>
      </c>
      <c r="G570" s="3" t="s">
        <v>2419</v>
      </c>
      <c r="H570" s="3" t="s">
        <v>45</v>
      </c>
      <c r="I570" s="3" t="s">
        <v>214</v>
      </c>
      <c r="J570" s="3" t="s">
        <v>1013</v>
      </c>
      <c r="K570" s="3" t="s">
        <v>31</v>
      </c>
      <c r="L570" s="3"/>
      <c r="M570" s="3"/>
      <c r="N570" s="3"/>
      <c r="O570" s="3"/>
      <c r="P570" s="3"/>
      <c r="Q570" s="3"/>
      <c r="R570" s="3"/>
      <c r="S570" s="3"/>
      <c r="T570" s="3"/>
      <c r="U570" s="3">
        <v>715</v>
      </c>
      <c r="V570" s="4">
        <v>43111</v>
      </c>
      <c r="W570" s="3" t="s">
        <v>33</v>
      </c>
      <c r="X570" s="3" t="s">
        <v>2418</v>
      </c>
    </row>
    <row r="571" spans="1:24" ht="27.95" x14ac:dyDescent="0.3">
      <c r="A571" s="3">
        <v>565</v>
      </c>
      <c r="B571" s="3" t="str">
        <f>"201900125604"</f>
        <v>201900125604</v>
      </c>
      <c r="C571" s="3">
        <v>145646</v>
      </c>
      <c r="D571" s="3" t="s">
        <v>2420</v>
      </c>
      <c r="E571" s="3">
        <v>10313000996</v>
      </c>
      <c r="F571" s="3" t="s">
        <v>2421</v>
      </c>
      <c r="G571" s="3" t="s">
        <v>2422</v>
      </c>
      <c r="H571" s="3" t="s">
        <v>2423</v>
      </c>
      <c r="I571" s="3" t="s">
        <v>2424</v>
      </c>
      <c r="J571" s="3" t="s">
        <v>2424</v>
      </c>
      <c r="K571" s="3" t="s">
        <v>31</v>
      </c>
      <c r="L571" s="3" t="s">
        <v>2425</v>
      </c>
      <c r="M571" s="3"/>
      <c r="N571" s="3"/>
      <c r="O571" s="3"/>
      <c r="P571" s="3"/>
      <c r="Q571" s="3"/>
      <c r="R571" s="3"/>
      <c r="S571" s="3"/>
      <c r="T571" s="3"/>
      <c r="U571" s="3">
        <v>440</v>
      </c>
      <c r="V571" s="4">
        <v>43682</v>
      </c>
      <c r="W571" s="3" t="s">
        <v>33</v>
      </c>
      <c r="X571" s="3" t="s">
        <v>2421</v>
      </c>
    </row>
    <row r="572" spans="1:24" ht="27.95" x14ac:dyDescent="0.3">
      <c r="A572" s="3">
        <v>566</v>
      </c>
      <c r="B572" s="3" t="str">
        <f>"201500134542"</f>
        <v>201500134542</v>
      </c>
      <c r="C572" s="3">
        <v>117921</v>
      </c>
      <c r="D572" s="3" t="s">
        <v>2426</v>
      </c>
      <c r="E572" s="3">
        <v>10284586781</v>
      </c>
      <c r="F572" s="3" t="s">
        <v>2427</v>
      </c>
      <c r="G572" s="3" t="s">
        <v>2428</v>
      </c>
      <c r="H572" s="3" t="s">
        <v>1513</v>
      </c>
      <c r="I572" s="3" t="s">
        <v>2429</v>
      </c>
      <c r="J572" s="3" t="s">
        <v>2430</v>
      </c>
      <c r="K572" s="3" t="s">
        <v>31</v>
      </c>
      <c r="L572" s="3" t="s">
        <v>40</v>
      </c>
      <c r="M572" s="3" t="s">
        <v>41</v>
      </c>
      <c r="N572" s="3" t="s">
        <v>39</v>
      </c>
      <c r="O572" s="3"/>
      <c r="P572" s="3"/>
      <c r="Q572" s="3"/>
      <c r="R572" s="3"/>
      <c r="S572" s="3"/>
      <c r="T572" s="3"/>
      <c r="U572" s="3">
        <v>330</v>
      </c>
      <c r="V572" s="4">
        <v>42317</v>
      </c>
      <c r="W572" s="3" t="s">
        <v>33</v>
      </c>
      <c r="X572" s="3" t="s">
        <v>2427</v>
      </c>
    </row>
    <row r="573" spans="1:24" ht="27.95" x14ac:dyDescent="0.3">
      <c r="A573" s="3">
        <v>567</v>
      </c>
      <c r="B573" s="3" t="str">
        <f>"201900076776"</f>
        <v>201900076776</v>
      </c>
      <c r="C573" s="3">
        <v>143106</v>
      </c>
      <c r="D573" s="3" t="s">
        <v>2431</v>
      </c>
      <c r="E573" s="3">
        <v>10434643223</v>
      </c>
      <c r="F573" s="3" t="s">
        <v>2432</v>
      </c>
      <c r="G573" s="3" t="s">
        <v>2433</v>
      </c>
      <c r="H573" s="3" t="s">
        <v>28</v>
      </c>
      <c r="I573" s="3" t="s">
        <v>663</v>
      </c>
      <c r="J573" s="3" t="s">
        <v>2253</v>
      </c>
      <c r="K573" s="3" t="s">
        <v>31</v>
      </c>
      <c r="L573" s="3" t="s">
        <v>32</v>
      </c>
      <c r="M573" s="3"/>
      <c r="N573" s="3"/>
      <c r="O573" s="3"/>
      <c r="P573" s="3"/>
      <c r="Q573" s="3"/>
      <c r="R573" s="3"/>
      <c r="S573" s="3"/>
      <c r="T573" s="3"/>
      <c r="U573" s="3">
        <v>715</v>
      </c>
      <c r="V573" s="4">
        <v>43601</v>
      </c>
      <c r="W573" s="3" t="s">
        <v>33</v>
      </c>
      <c r="X573" s="3" t="s">
        <v>2432</v>
      </c>
    </row>
    <row r="574" spans="1:24" ht="27.95" x14ac:dyDescent="0.3">
      <c r="A574" s="3">
        <v>568</v>
      </c>
      <c r="B574" s="3" t="str">
        <f>"201900060077"</f>
        <v>201900060077</v>
      </c>
      <c r="C574" s="3">
        <v>142623</v>
      </c>
      <c r="D574" s="3" t="s">
        <v>2434</v>
      </c>
      <c r="E574" s="3">
        <v>10232643248</v>
      </c>
      <c r="F574" s="3" t="s">
        <v>2435</v>
      </c>
      <c r="G574" s="3" t="s">
        <v>2436</v>
      </c>
      <c r="H574" s="3" t="s">
        <v>61</v>
      </c>
      <c r="I574" s="3" t="s">
        <v>61</v>
      </c>
      <c r="J574" s="3" t="s">
        <v>528</v>
      </c>
      <c r="K574" s="3" t="s">
        <v>31</v>
      </c>
      <c r="L574" s="3" t="s">
        <v>236</v>
      </c>
      <c r="M574" s="3" t="s">
        <v>644</v>
      </c>
      <c r="N574" s="3"/>
      <c r="O574" s="3"/>
      <c r="P574" s="3"/>
      <c r="Q574" s="3"/>
      <c r="R574" s="3"/>
      <c r="S574" s="3"/>
      <c r="T574" s="3"/>
      <c r="U574" s="3">
        <v>715</v>
      </c>
      <c r="V574" s="4">
        <v>43572</v>
      </c>
      <c r="W574" s="3" t="s">
        <v>33</v>
      </c>
      <c r="X574" s="3" t="s">
        <v>2435</v>
      </c>
    </row>
    <row r="575" spans="1:24" ht="27.95" x14ac:dyDescent="0.3">
      <c r="A575" s="3">
        <v>569</v>
      </c>
      <c r="B575" s="3" t="str">
        <f>"1871658"</f>
        <v>1871658</v>
      </c>
      <c r="C575" s="3">
        <v>41054</v>
      </c>
      <c r="D575" s="3" t="s">
        <v>2437</v>
      </c>
      <c r="E575" s="3">
        <v>10211091628</v>
      </c>
      <c r="F575" s="3" t="s">
        <v>2438</v>
      </c>
      <c r="G575" s="3" t="s">
        <v>2439</v>
      </c>
      <c r="H575" s="3" t="s">
        <v>37</v>
      </c>
      <c r="I575" s="3" t="s">
        <v>528</v>
      </c>
      <c r="J575" s="3" t="s">
        <v>2015</v>
      </c>
      <c r="K575" s="3" t="s">
        <v>31</v>
      </c>
      <c r="L575" s="3" t="s">
        <v>2440</v>
      </c>
      <c r="M575" s="3" t="s">
        <v>2441</v>
      </c>
      <c r="N575" s="3" t="s">
        <v>50</v>
      </c>
      <c r="O575" s="3"/>
      <c r="P575" s="3"/>
      <c r="Q575" s="3"/>
      <c r="R575" s="3"/>
      <c r="S575" s="3"/>
      <c r="T575" s="3"/>
      <c r="U575" s="3">
        <v>342</v>
      </c>
      <c r="V575" s="4">
        <v>39890</v>
      </c>
      <c r="W575" s="3" t="s">
        <v>33</v>
      </c>
      <c r="X575" s="3" t="s">
        <v>2442</v>
      </c>
    </row>
    <row r="576" spans="1:24" ht="27.95" x14ac:dyDescent="0.3">
      <c r="A576" s="3">
        <v>570</v>
      </c>
      <c r="B576" s="3" t="str">
        <f>"1860542"</f>
        <v>1860542</v>
      </c>
      <c r="C576" s="3">
        <v>42004</v>
      </c>
      <c r="D576" s="3" t="s">
        <v>2443</v>
      </c>
      <c r="E576" s="3">
        <v>10011249910</v>
      </c>
      <c r="F576" s="3" t="s">
        <v>2444</v>
      </c>
      <c r="G576" s="3" t="s">
        <v>2445</v>
      </c>
      <c r="H576" s="3" t="s">
        <v>233</v>
      </c>
      <c r="I576" s="3" t="s">
        <v>1194</v>
      </c>
      <c r="J576" s="3" t="s">
        <v>1941</v>
      </c>
      <c r="K576" s="3" t="s">
        <v>31</v>
      </c>
      <c r="L576" s="3" t="s">
        <v>48</v>
      </c>
      <c r="M576" s="3" t="s">
        <v>2440</v>
      </c>
      <c r="N576" s="3" t="s">
        <v>50</v>
      </c>
      <c r="O576" s="3"/>
      <c r="P576" s="3"/>
      <c r="Q576" s="3"/>
      <c r="R576" s="3"/>
      <c r="S576" s="3"/>
      <c r="T576" s="3"/>
      <c r="U576" s="3">
        <v>342</v>
      </c>
      <c r="V576" s="4">
        <v>39854</v>
      </c>
      <c r="W576" s="3" t="s">
        <v>33</v>
      </c>
      <c r="X576" s="3" t="s">
        <v>2446</v>
      </c>
    </row>
    <row r="577" spans="1:24" ht="27.95" x14ac:dyDescent="0.3">
      <c r="A577" s="3">
        <v>571</v>
      </c>
      <c r="B577" s="3" t="str">
        <f>"201800104504"</f>
        <v>201800104504</v>
      </c>
      <c r="C577" s="3">
        <v>136914</v>
      </c>
      <c r="D577" s="3" t="s">
        <v>2447</v>
      </c>
      <c r="E577" s="3">
        <v>10404172226</v>
      </c>
      <c r="F577" s="3" t="s">
        <v>2448</v>
      </c>
      <c r="G577" s="3" t="s">
        <v>2449</v>
      </c>
      <c r="H577" s="3" t="s">
        <v>233</v>
      </c>
      <c r="I577" s="3" t="s">
        <v>504</v>
      </c>
      <c r="J577" s="3" t="s">
        <v>700</v>
      </c>
      <c r="K577" s="3" t="s">
        <v>31</v>
      </c>
      <c r="L577" s="3" t="s">
        <v>1221</v>
      </c>
      <c r="M577" s="3" t="s">
        <v>237</v>
      </c>
      <c r="N577" s="3" t="s">
        <v>50</v>
      </c>
      <c r="O577" s="3"/>
      <c r="P577" s="3"/>
      <c r="Q577" s="3"/>
      <c r="R577" s="3"/>
      <c r="S577" s="3"/>
      <c r="T577" s="3"/>
      <c r="U577" s="3">
        <v>495</v>
      </c>
      <c r="V577" s="4">
        <v>43277</v>
      </c>
      <c r="W577" s="3" t="s">
        <v>33</v>
      </c>
      <c r="X577" s="3" t="s">
        <v>2448</v>
      </c>
    </row>
    <row r="578" spans="1:24" ht="27.95" x14ac:dyDescent="0.3">
      <c r="A578" s="3">
        <v>572</v>
      </c>
      <c r="B578" s="3" t="str">
        <f>"201900004975"</f>
        <v>201900004975</v>
      </c>
      <c r="C578" s="3">
        <v>116206</v>
      </c>
      <c r="D578" s="3" t="s">
        <v>2450</v>
      </c>
      <c r="E578" s="3">
        <v>20603817771</v>
      </c>
      <c r="F578" s="3" t="s">
        <v>2451</v>
      </c>
      <c r="G578" s="3" t="s">
        <v>2452</v>
      </c>
      <c r="H578" s="3" t="s">
        <v>233</v>
      </c>
      <c r="I578" s="3" t="s">
        <v>233</v>
      </c>
      <c r="J578" s="3" t="s">
        <v>782</v>
      </c>
      <c r="K578" s="3" t="s">
        <v>31</v>
      </c>
      <c r="L578" s="3"/>
      <c r="M578" s="3" t="s">
        <v>264</v>
      </c>
      <c r="N578" s="3" t="s">
        <v>50</v>
      </c>
      <c r="O578" s="3" t="s">
        <v>41</v>
      </c>
      <c r="P578" s="3"/>
      <c r="Q578" s="3"/>
      <c r="R578" s="3"/>
      <c r="S578" s="3"/>
      <c r="T578" s="3"/>
      <c r="U578" s="3">
        <v>330</v>
      </c>
      <c r="V578" s="4">
        <v>43482</v>
      </c>
      <c r="W578" s="3" t="s">
        <v>33</v>
      </c>
      <c r="X578" s="3" t="s">
        <v>2453</v>
      </c>
    </row>
    <row r="579" spans="1:24" ht="27.95" x14ac:dyDescent="0.3">
      <c r="A579" s="3">
        <v>573</v>
      </c>
      <c r="B579" s="3" t="str">
        <f>"201300082753"</f>
        <v>201300082753</v>
      </c>
      <c r="C579" s="3">
        <v>34797</v>
      </c>
      <c r="D579" s="3" t="s">
        <v>2454</v>
      </c>
      <c r="E579" s="3">
        <v>10018756167</v>
      </c>
      <c r="F579" s="3" t="s">
        <v>2455</v>
      </c>
      <c r="G579" s="3" t="s">
        <v>2456</v>
      </c>
      <c r="H579" s="3" t="s">
        <v>45</v>
      </c>
      <c r="I579" s="3" t="s">
        <v>105</v>
      </c>
      <c r="J579" s="3" t="s">
        <v>144</v>
      </c>
      <c r="K579" s="3" t="s">
        <v>31</v>
      </c>
      <c r="L579" s="3" t="s">
        <v>182</v>
      </c>
      <c r="M579" s="3" t="s">
        <v>181</v>
      </c>
      <c r="N579" s="3"/>
      <c r="O579" s="3"/>
      <c r="P579" s="3"/>
      <c r="Q579" s="3"/>
      <c r="R579" s="3"/>
      <c r="S579" s="3"/>
      <c r="T579" s="3"/>
      <c r="U579" s="3">
        <v>330</v>
      </c>
      <c r="V579" s="4">
        <v>41401</v>
      </c>
      <c r="W579" s="3" t="s">
        <v>33</v>
      </c>
      <c r="X579" s="3" t="s">
        <v>2455</v>
      </c>
    </row>
    <row r="580" spans="1:24" ht="27.95" x14ac:dyDescent="0.3">
      <c r="A580" s="3">
        <v>574</v>
      </c>
      <c r="B580" s="3" t="str">
        <f>"201300047448"</f>
        <v>201300047448</v>
      </c>
      <c r="C580" s="3">
        <v>21721</v>
      </c>
      <c r="D580" s="3" t="s">
        <v>2457</v>
      </c>
      <c r="E580" s="3">
        <v>10022983984</v>
      </c>
      <c r="F580" s="3" t="s">
        <v>2458</v>
      </c>
      <c r="G580" s="3" t="s">
        <v>2459</v>
      </c>
      <c r="H580" s="3" t="s">
        <v>45</v>
      </c>
      <c r="I580" s="3" t="s">
        <v>46</v>
      </c>
      <c r="J580" s="3" t="s">
        <v>339</v>
      </c>
      <c r="K580" s="3" t="s">
        <v>31</v>
      </c>
      <c r="L580" s="3" t="s">
        <v>181</v>
      </c>
      <c r="M580" s="3" t="s">
        <v>182</v>
      </c>
      <c r="N580" s="3"/>
      <c r="O580" s="3"/>
      <c r="P580" s="3"/>
      <c r="Q580" s="3"/>
      <c r="R580" s="3"/>
      <c r="S580" s="3"/>
      <c r="T580" s="3"/>
      <c r="U580" s="3">
        <v>330</v>
      </c>
      <c r="V580" s="4">
        <v>41355</v>
      </c>
      <c r="W580" s="3" t="s">
        <v>33</v>
      </c>
      <c r="X580" s="3" t="s">
        <v>2458</v>
      </c>
    </row>
    <row r="581" spans="1:24" ht="27.95" x14ac:dyDescent="0.3">
      <c r="A581" s="3">
        <v>575</v>
      </c>
      <c r="B581" s="3" t="str">
        <f>"201800057317"</f>
        <v>201800057317</v>
      </c>
      <c r="C581" s="3">
        <v>123785</v>
      </c>
      <c r="D581" s="3" t="s">
        <v>2460</v>
      </c>
      <c r="E581" s="3">
        <v>10251315928</v>
      </c>
      <c r="F581" s="3" t="s">
        <v>2461</v>
      </c>
      <c r="G581" s="3" t="s">
        <v>2462</v>
      </c>
      <c r="H581" s="3" t="s">
        <v>28</v>
      </c>
      <c r="I581" s="3" t="s">
        <v>174</v>
      </c>
      <c r="J581" s="3" t="s">
        <v>2235</v>
      </c>
      <c r="K581" s="3" t="s">
        <v>31</v>
      </c>
      <c r="L581" s="3"/>
      <c r="M581" s="3"/>
      <c r="N581" s="3" t="s">
        <v>32</v>
      </c>
      <c r="O581" s="3"/>
      <c r="P581" s="3"/>
      <c r="Q581" s="3"/>
      <c r="R581" s="3"/>
      <c r="S581" s="3"/>
      <c r="T581" s="3"/>
      <c r="U581" s="3">
        <v>715</v>
      </c>
      <c r="V581" s="4">
        <v>43196</v>
      </c>
      <c r="W581" s="3" t="s">
        <v>33</v>
      </c>
      <c r="X581" s="3" t="s">
        <v>2463</v>
      </c>
    </row>
    <row r="582" spans="1:24" ht="27.95" x14ac:dyDescent="0.3">
      <c r="A582" s="3">
        <v>576</v>
      </c>
      <c r="B582" s="3" t="str">
        <f>"201900069753"</f>
        <v>201900069753</v>
      </c>
      <c r="C582" s="3">
        <v>142898</v>
      </c>
      <c r="D582" s="3" t="s">
        <v>2464</v>
      </c>
      <c r="E582" s="3">
        <v>10448765615</v>
      </c>
      <c r="F582" s="3" t="s">
        <v>2465</v>
      </c>
      <c r="G582" s="3" t="s">
        <v>2466</v>
      </c>
      <c r="H582" s="3" t="s">
        <v>28</v>
      </c>
      <c r="I582" s="3" t="s">
        <v>220</v>
      </c>
      <c r="J582" s="3" t="s">
        <v>221</v>
      </c>
      <c r="K582" s="3" t="s">
        <v>31</v>
      </c>
      <c r="L582" s="3" t="s">
        <v>347</v>
      </c>
      <c r="M582" s="3"/>
      <c r="N582" s="3"/>
      <c r="O582" s="3"/>
      <c r="P582" s="3"/>
      <c r="Q582" s="3"/>
      <c r="R582" s="3"/>
      <c r="S582" s="3"/>
      <c r="T582" s="3"/>
      <c r="U582" s="3">
        <v>715</v>
      </c>
      <c r="V582" s="4">
        <v>43585</v>
      </c>
      <c r="W582" s="3" t="s">
        <v>33</v>
      </c>
      <c r="X582" s="3" t="s">
        <v>2465</v>
      </c>
    </row>
    <row r="583" spans="1:24" ht="27.95" x14ac:dyDescent="0.3">
      <c r="A583" s="3">
        <v>577</v>
      </c>
      <c r="B583" s="3" t="str">
        <f>"201400065099"</f>
        <v>201400065099</v>
      </c>
      <c r="C583" s="3">
        <v>108853</v>
      </c>
      <c r="D583" s="3" t="s">
        <v>2467</v>
      </c>
      <c r="E583" s="3">
        <v>10440571463</v>
      </c>
      <c r="F583" s="3" t="s">
        <v>2468</v>
      </c>
      <c r="G583" s="3" t="s">
        <v>2469</v>
      </c>
      <c r="H583" s="3" t="s">
        <v>45</v>
      </c>
      <c r="I583" s="3" t="s">
        <v>352</v>
      </c>
      <c r="J583" s="3" t="s">
        <v>2088</v>
      </c>
      <c r="K583" s="3" t="s">
        <v>31</v>
      </c>
      <c r="L583" s="3" t="s">
        <v>64</v>
      </c>
      <c r="M583" s="3" t="s">
        <v>182</v>
      </c>
      <c r="N583" s="3"/>
      <c r="O583" s="3"/>
      <c r="P583" s="3"/>
      <c r="Q583" s="3"/>
      <c r="R583" s="3"/>
      <c r="S583" s="3"/>
      <c r="T583" s="3"/>
      <c r="U583" s="3">
        <v>330</v>
      </c>
      <c r="V583" s="4">
        <v>41785</v>
      </c>
      <c r="W583" s="3" t="s">
        <v>33</v>
      </c>
      <c r="X583" s="3" t="s">
        <v>2468</v>
      </c>
    </row>
    <row r="584" spans="1:24" ht="41.95" x14ac:dyDescent="0.3">
      <c r="A584" s="3">
        <v>578</v>
      </c>
      <c r="B584" s="3" t="str">
        <f>"201300047652"</f>
        <v>201300047652</v>
      </c>
      <c r="C584" s="3">
        <v>33341</v>
      </c>
      <c r="D584" s="3" t="s">
        <v>2470</v>
      </c>
      <c r="E584" s="3">
        <v>10024204133</v>
      </c>
      <c r="F584" s="3" t="s">
        <v>277</v>
      </c>
      <c r="G584" s="3" t="s">
        <v>2471</v>
      </c>
      <c r="H584" s="3" t="s">
        <v>45</v>
      </c>
      <c r="I584" s="3" t="s">
        <v>45</v>
      </c>
      <c r="J584" s="3" t="s">
        <v>169</v>
      </c>
      <c r="K584" s="3" t="s">
        <v>31</v>
      </c>
      <c r="L584" s="3" t="s">
        <v>182</v>
      </c>
      <c r="M584" s="3" t="s">
        <v>181</v>
      </c>
      <c r="N584" s="3"/>
      <c r="O584" s="3"/>
      <c r="P584" s="3"/>
      <c r="Q584" s="3"/>
      <c r="R584" s="3"/>
      <c r="S584" s="3"/>
      <c r="T584" s="3"/>
      <c r="U584" s="3">
        <v>330</v>
      </c>
      <c r="V584" s="4">
        <v>41357</v>
      </c>
      <c r="W584" s="3" t="s">
        <v>33</v>
      </c>
      <c r="X584" s="3" t="s">
        <v>277</v>
      </c>
    </row>
    <row r="585" spans="1:24" ht="27.95" x14ac:dyDescent="0.3">
      <c r="A585" s="3">
        <v>579</v>
      </c>
      <c r="B585" s="3" t="str">
        <f>"201700120573"</f>
        <v>201700120573</v>
      </c>
      <c r="C585" s="3">
        <v>102686</v>
      </c>
      <c r="D585" s="3" t="s">
        <v>2472</v>
      </c>
      <c r="E585" s="3">
        <v>10416239032</v>
      </c>
      <c r="F585" s="3" t="s">
        <v>2473</v>
      </c>
      <c r="G585" s="3" t="s">
        <v>2474</v>
      </c>
      <c r="H585" s="3" t="s">
        <v>498</v>
      </c>
      <c r="I585" s="3" t="s">
        <v>2270</v>
      </c>
      <c r="J585" s="3" t="s">
        <v>2271</v>
      </c>
      <c r="K585" s="3" t="s">
        <v>31</v>
      </c>
      <c r="L585" s="3" t="s">
        <v>39</v>
      </c>
      <c r="M585" s="3" t="s">
        <v>40</v>
      </c>
      <c r="N585" s="3" t="s">
        <v>41</v>
      </c>
      <c r="O585" s="3"/>
      <c r="P585" s="3"/>
      <c r="Q585" s="3"/>
      <c r="R585" s="3"/>
      <c r="S585" s="3"/>
      <c r="T585" s="3"/>
      <c r="U585" s="3">
        <v>330</v>
      </c>
      <c r="V585" s="4">
        <v>42957</v>
      </c>
      <c r="W585" s="3" t="s">
        <v>33</v>
      </c>
      <c r="X585" s="3" t="s">
        <v>2473</v>
      </c>
    </row>
    <row r="586" spans="1:24" ht="27.95" x14ac:dyDescent="0.3">
      <c r="A586" s="3">
        <v>580</v>
      </c>
      <c r="B586" s="3" t="str">
        <f>"201300058055"</f>
        <v>201300058055</v>
      </c>
      <c r="C586" s="3">
        <v>20023</v>
      </c>
      <c r="D586" s="3" t="s">
        <v>2475</v>
      </c>
      <c r="E586" s="3">
        <v>10040293863</v>
      </c>
      <c r="F586" s="3" t="s">
        <v>2476</v>
      </c>
      <c r="G586" s="3" t="s">
        <v>2477</v>
      </c>
      <c r="H586" s="3" t="s">
        <v>464</v>
      </c>
      <c r="I586" s="3" t="s">
        <v>464</v>
      </c>
      <c r="J586" s="3" t="s">
        <v>1915</v>
      </c>
      <c r="K586" s="3" t="s">
        <v>31</v>
      </c>
      <c r="L586" s="3" t="s">
        <v>40</v>
      </c>
      <c r="M586" s="3" t="s">
        <v>500</v>
      </c>
      <c r="N586" s="3"/>
      <c r="O586" s="3"/>
      <c r="P586" s="3"/>
      <c r="Q586" s="3"/>
      <c r="R586" s="3"/>
      <c r="S586" s="3"/>
      <c r="T586" s="3"/>
      <c r="U586" s="3">
        <v>330</v>
      </c>
      <c r="V586" s="4">
        <v>41365</v>
      </c>
      <c r="W586" s="3" t="s">
        <v>33</v>
      </c>
      <c r="X586" s="3" t="s">
        <v>2476</v>
      </c>
    </row>
    <row r="587" spans="1:24" ht="27.95" x14ac:dyDescent="0.3">
      <c r="A587" s="3">
        <v>581</v>
      </c>
      <c r="B587" s="3" t="str">
        <f>"201900059853"</f>
        <v>201900059853</v>
      </c>
      <c r="C587" s="3">
        <v>142616</v>
      </c>
      <c r="D587" s="3" t="s">
        <v>2478</v>
      </c>
      <c r="E587" s="3">
        <v>10425963461</v>
      </c>
      <c r="F587" s="3" t="s">
        <v>2479</v>
      </c>
      <c r="G587" s="3" t="s">
        <v>2480</v>
      </c>
      <c r="H587" s="3" t="s">
        <v>28</v>
      </c>
      <c r="I587" s="3" t="s">
        <v>174</v>
      </c>
      <c r="J587" s="3" t="s">
        <v>174</v>
      </c>
      <c r="K587" s="3" t="s">
        <v>31</v>
      </c>
      <c r="L587" s="3" t="s">
        <v>32</v>
      </c>
      <c r="M587" s="3"/>
      <c r="N587" s="3"/>
      <c r="O587" s="3"/>
      <c r="P587" s="3"/>
      <c r="Q587" s="3"/>
      <c r="R587" s="3"/>
      <c r="S587" s="3"/>
      <c r="T587" s="3"/>
      <c r="U587" s="3">
        <v>715</v>
      </c>
      <c r="V587" s="4">
        <v>43566</v>
      </c>
      <c r="W587" s="3" t="s">
        <v>33</v>
      </c>
      <c r="X587" s="3" t="s">
        <v>2479</v>
      </c>
    </row>
    <row r="588" spans="1:24" ht="27.95" x14ac:dyDescent="0.3">
      <c r="A588" s="3">
        <v>582</v>
      </c>
      <c r="B588" s="3" t="str">
        <f>"201700105622"</f>
        <v>201700105622</v>
      </c>
      <c r="C588" s="3">
        <v>128962</v>
      </c>
      <c r="D588" s="3" t="s">
        <v>2481</v>
      </c>
      <c r="E588" s="3">
        <v>10235371443</v>
      </c>
      <c r="F588" s="3" t="s">
        <v>2482</v>
      </c>
      <c r="G588" s="3" t="s">
        <v>2483</v>
      </c>
      <c r="H588" s="3" t="s">
        <v>61</v>
      </c>
      <c r="I588" s="3" t="s">
        <v>1700</v>
      </c>
      <c r="J588" s="3" t="s">
        <v>1701</v>
      </c>
      <c r="K588" s="3" t="s">
        <v>31</v>
      </c>
      <c r="L588" s="3"/>
      <c r="M588" s="3"/>
      <c r="N588" s="3" t="s">
        <v>181</v>
      </c>
      <c r="O588" s="3" t="s">
        <v>65</v>
      </c>
      <c r="P588" s="3"/>
      <c r="Q588" s="3"/>
      <c r="R588" s="3"/>
      <c r="S588" s="3"/>
      <c r="T588" s="3"/>
      <c r="U588" s="3">
        <v>330</v>
      </c>
      <c r="V588" s="4">
        <v>42926</v>
      </c>
      <c r="W588" s="3" t="s">
        <v>33</v>
      </c>
      <c r="X588" s="3" t="s">
        <v>2482</v>
      </c>
    </row>
    <row r="589" spans="1:24" ht="27.95" x14ac:dyDescent="0.3">
      <c r="A589" s="3">
        <v>583</v>
      </c>
      <c r="B589" s="3" t="str">
        <f>"202000137116"</f>
        <v>202000137116</v>
      </c>
      <c r="C589" s="3">
        <v>123248</v>
      </c>
      <c r="D589" s="3" t="s">
        <v>2484</v>
      </c>
      <c r="E589" s="3">
        <v>10231485011</v>
      </c>
      <c r="F589" s="3" t="s">
        <v>2485</v>
      </c>
      <c r="G589" s="3" t="s">
        <v>2486</v>
      </c>
      <c r="H589" s="3" t="s">
        <v>73</v>
      </c>
      <c r="I589" s="3" t="s">
        <v>416</v>
      </c>
      <c r="J589" s="3" t="s">
        <v>2487</v>
      </c>
      <c r="K589" s="3" t="s">
        <v>31</v>
      </c>
      <c r="L589" s="3" t="s">
        <v>1416</v>
      </c>
      <c r="M589" s="3"/>
      <c r="N589" s="3"/>
      <c r="O589" s="3"/>
      <c r="P589" s="3"/>
      <c r="Q589" s="3"/>
      <c r="R589" s="3"/>
      <c r="S589" s="3"/>
      <c r="T589" s="3"/>
      <c r="U589" s="3">
        <v>330</v>
      </c>
      <c r="V589" s="4">
        <v>44112</v>
      </c>
      <c r="W589" s="3" t="s">
        <v>33</v>
      </c>
      <c r="X589" s="3" t="s">
        <v>2485</v>
      </c>
    </row>
    <row r="590" spans="1:24" ht="27.95" x14ac:dyDescent="0.3">
      <c r="A590" s="3">
        <v>584</v>
      </c>
      <c r="B590" s="3" t="str">
        <f>"1945191"</f>
        <v>1945191</v>
      </c>
      <c r="C590" s="3">
        <v>84513</v>
      </c>
      <c r="D590" s="3" t="s">
        <v>2488</v>
      </c>
      <c r="E590" s="3">
        <v>10023693611</v>
      </c>
      <c r="F590" s="3" t="s">
        <v>2489</v>
      </c>
      <c r="G590" s="3" t="s">
        <v>2490</v>
      </c>
      <c r="H590" s="3" t="s">
        <v>45</v>
      </c>
      <c r="I590" s="3" t="s">
        <v>179</v>
      </c>
      <c r="J590" s="3" t="s">
        <v>2491</v>
      </c>
      <c r="K590" s="3" t="s">
        <v>31</v>
      </c>
      <c r="L590" s="3" t="s">
        <v>197</v>
      </c>
      <c r="M590" s="3" t="s">
        <v>1725</v>
      </c>
      <c r="N590" s="3" t="s">
        <v>269</v>
      </c>
      <c r="O590" s="3"/>
      <c r="P590" s="3"/>
      <c r="Q590" s="3"/>
      <c r="R590" s="3"/>
      <c r="S590" s="3"/>
      <c r="T590" s="3"/>
      <c r="U590" s="3">
        <v>741</v>
      </c>
      <c r="V590" s="4">
        <v>40147</v>
      </c>
      <c r="W590" s="3" t="s">
        <v>33</v>
      </c>
      <c r="X590" s="3" t="s">
        <v>2492</v>
      </c>
    </row>
    <row r="591" spans="1:24" ht="27.95" x14ac:dyDescent="0.3">
      <c r="A591" s="3">
        <v>585</v>
      </c>
      <c r="B591" s="3" t="str">
        <f>"201700179181"</f>
        <v>201700179181</v>
      </c>
      <c r="C591" s="3">
        <v>113148</v>
      </c>
      <c r="D591" s="3" t="s">
        <v>2493</v>
      </c>
      <c r="E591" s="3">
        <v>20602527426</v>
      </c>
      <c r="F591" s="3" t="s">
        <v>2494</v>
      </c>
      <c r="G591" s="3" t="s">
        <v>2495</v>
      </c>
      <c r="H591" s="3" t="s">
        <v>84</v>
      </c>
      <c r="I591" s="3" t="s">
        <v>421</v>
      </c>
      <c r="J591" s="3" t="s">
        <v>422</v>
      </c>
      <c r="K591" s="3" t="s">
        <v>31</v>
      </c>
      <c r="L591" s="3" t="s">
        <v>41</v>
      </c>
      <c r="M591" s="3" t="s">
        <v>2496</v>
      </c>
      <c r="N591" s="3"/>
      <c r="O591" s="3"/>
      <c r="P591" s="3"/>
      <c r="Q591" s="3"/>
      <c r="R591" s="3"/>
      <c r="S591" s="3"/>
      <c r="T591" s="3"/>
      <c r="U591" s="3">
        <v>330</v>
      </c>
      <c r="V591" s="4">
        <v>43038</v>
      </c>
      <c r="W591" s="3" t="s">
        <v>33</v>
      </c>
      <c r="X591" s="3" t="s">
        <v>2497</v>
      </c>
    </row>
    <row r="592" spans="1:24" ht="27.95" x14ac:dyDescent="0.3">
      <c r="A592" s="3">
        <v>586</v>
      </c>
      <c r="B592" s="3" t="str">
        <f>"201900156919"</f>
        <v>201900156919</v>
      </c>
      <c r="C592" s="3">
        <v>146774</v>
      </c>
      <c r="D592" s="3" t="s">
        <v>2498</v>
      </c>
      <c r="E592" s="3">
        <v>10053100649</v>
      </c>
      <c r="F592" s="3" t="s">
        <v>2499</v>
      </c>
      <c r="G592" s="3" t="s">
        <v>2500</v>
      </c>
      <c r="H592" s="3" t="s">
        <v>84</v>
      </c>
      <c r="I592" s="3" t="s">
        <v>1035</v>
      </c>
      <c r="J592" s="3" t="s">
        <v>1035</v>
      </c>
      <c r="K592" s="3" t="s">
        <v>31</v>
      </c>
      <c r="L592" s="3" t="s">
        <v>1466</v>
      </c>
      <c r="M592" s="3"/>
      <c r="N592" s="3"/>
      <c r="O592" s="3"/>
      <c r="P592" s="3"/>
      <c r="Q592" s="3"/>
      <c r="R592" s="3"/>
      <c r="S592" s="3"/>
      <c r="T592" s="3"/>
      <c r="U592" s="3">
        <v>715</v>
      </c>
      <c r="V592" s="4">
        <v>43740</v>
      </c>
      <c r="W592" s="3" t="s">
        <v>33</v>
      </c>
      <c r="X592" s="3" t="s">
        <v>2499</v>
      </c>
    </row>
    <row r="593" spans="1:24" ht="27.95" x14ac:dyDescent="0.3">
      <c r="A593" s="3">
        <v>587</v>
      </c>
      <c r="B593" s="3" t="str">
        <f>"1460882"</f>
        <v>1460882</v>
      </c>
      <c r="C593" s="3">
        <v>89231</v>
      </c>
      <c r="D593" s="3" t="s">
        <v>2501</v>
      </c>
      <c r="E593" s="3">
        <v>10337334321</v>
      </c>
      <c r="F593" s="3" t="s">
        <v>2502</v>
      </c>
      <c r="G593" s="3" t="s">
        <v>2503</v>
      </c>
      <c r="H593" s="3" t="s">
        <v>225</v>
      </c>
      <c r="I593" s="3" t="s">
        <v>866</v>
      </c>
      <c r="J593" s="3" t="s">
        <v>2504</v>
      </c>
      <c r="K593" s="3" t="s">
        <v>31</v>
      </c>
      <c r="L593" s="3" t="s">
        <v>819</v>
      </c>
      <c r="M593" s="3"/>
      <c r="N593" s="3"/>
      <c r="O593" s="3" t="s">
        <v>1633</v>
      </c>
      <c r="P593" s="3"/>
      <c r="Q593" s="3"/>
      <c r="R593" s="3"/>
      <c r="S593" s="3"/>
      <c r="T593" s="3"/>
      <c r="U593" s="3">
        <v>285</v>
      </c>
      <c r="V593" s="4">
        <v>40555</v>
      </c>
      <c r="W593" s="3" t="s">
        <v>33</v>
      </c>
      <c r="X593" s="3" t="s">
        <v>2502</v>
      </c>
    </row>
    <row r="594" spans="1:24" ht="27.95" x14ac:dyDescent="0.3">
      <c r="A594" s="3">
        <v>588</v>
      </c>
      <c r="B594" s="3" t="str">
        <f>"201800102254"</f>
        <v>201800102254</v>
      </c>
      <c r="C594" s="3">
        <v>17901</v>
      </c>
      <c r="D594" s="3" t="s">
        <v>2505</v>
      </c>
      <c r="E594" s="3">
        <v>10022706514</v>
      </c>
      <c r="F594" s="3" t="s">
        <v>2506</v>
      </c>
      <c r="G594" s="3" t="s">
        <v>2507</v>
      </c>
      <c r="H594" s="3" t="s">
        <v>45</v>
      </c>
      <c r="I594" s="3" t="s">
        <v>352</v>
      </c>
      <c r="J594" s="3" t="s">
        <v>353</v>
      </c>
      <c r="K594" s="3" t="s">
        <v>31</v>
      </c>
      <c r="L594" s="3"/>
      <c r="M594" s="3"/>
      <c r="N594" s="3" t="s">
        <v>340</v>
      </c>
      <c r="O594" s="3"/>
      <c r="P594" s="3"/>
      <c r="Q594" s="3"/>
      <c r="R594" s="3"/>
      <c r="S594" s="3"/>
      <c r="T594" s="3"/>
      <c r="U594" s="3">
        <v>715</v>
      </c>
      <c r="V594" s="4">
        <v>43277</v>
      </c>
      <c r="W594" s="3" t="s">
        <v>33</v>
      </c>
      <c r="X594" s="3" t="s">
        <v>2506</v>
      </c>
    </row>
    <row r="595" spans="1:24" ht="27.95" x14ac:dyDescent="0.3">
      <c r="A595" s="3">
        <v>589</v>
      </c>
      <c r="B595" s="3" t="str">
        <f>"201200174728"</f>
        <v>201200174728</v>
      </c>
      <c r="C595" s="3">
        <v>21501</v>
      </c>
      <c r="D595" s="3" t="s">
        <v>2508</v>
      </c>
      <c r="E595" s="3">
        <v>10033295630</v>
      </c>
      <c r="F595" s="3" t="s">
        <v>2509</v>
      </c>
      <c r="G595" s="3" t="s">
        <v>2510</v>
      </c>
      <c r="H595" s="3" t="s">
        <v>233</v>
      </c>
      <c r="I595" s="3" t="s">
        <v>504</v>
      </c>
      <c r="J595" s="3" t="s">
        <v>2511</v>
      </c>
      <c r="K595" s="3" t="s">
        <v>31</v>
      </c>
      <c r="L595" s="3" t="s">
        <v>41</v>
      </c>
      <c r="M595" s="3" t="s">
        <v>50</v>
      </c>
      <c r="N595" s="3" t="s">
        <v>264</v>
      </c>
      <c r="O595" s="3"/>
      <c r="P595" s="3"/>
      <c r="Q595" s="3"/>
      <c r="R595" s="3"/>
      <c r="S595" s="3"/>
      <c r="T595" s="3"/>
      <c r="U595" s="3">
        <v>330</v>
      </c>
      <c r="V595" s="4">
        <v>41172</v>
      </c>
      <c r="W595" s="3" t="s">
        <v>33</v>
      </c>
      <c r="X595" s="3" t="s">
        <v>2512</v>
      </c>
    </row>
    <row r="596" spans="1:24" ht="27.95" x14ac:dyDescent="0.3">
      <c r="A596" s="3">
        <v>590</v>
      </c>
      <c r="B596" s="3" t="str">
        <f>"201800176232"</f>
        <v>201800176232</v>
      </c>
      <c r="C596" s="3">
        <v>111331</v>
      </c>
      <c r="D596" s="3" t="s">
        <v>2513</v>
      </c>
      <c r="E596" s="3">
        <v>20600707320</v>
      </c>
      <c r="F596" s="3" t="s">
        <v>2514</v>
      </c>
      <c r="G596" s="3" t="s">
        <v>2515</v>
      </c>
      <c r="H596" s="3" t="s">
        <v>233</v>
      </c>
      <c r="I596" s="3" t="s">
        <v>504</v>
      </c>
      <c r="J596" s="3" t="s">
        <v>1005</v>
      </c>
      <c r="K596" s="3" t="s">
        <v>31</v>
      </c>
      <c r="L596" s="3" t="s">
        <v>41</v>
      </c>
      <c r="M596" s="3" t="s">
        <v>50</v>
      </c>
      <c r="N596" s="3" t="s">
        <v>264</v>
      </c>
      <c r="O596" s="3"/>
      <c r="P596" s="3"/>
      <c r="Q596" s="3"/>
      <c r="R596" s="3"/>
      <c r="S596" s="3"/>
      <c r="T596" s="3"/>
      <c r="U596" s="3">
        <v>330</v>
      </c>
      <c r="V596" s="4">
        <v>43399</v>
      </c>
      <c r="W596" s="3" t="s">
        <v>33</v>
      </c>
      <c r="X596" s="3" t="s">
        <v>2516</v>
      </c>
    </row>
    <row r="597" spans="1:24" ht="27.95" x14ac:dyDescent="0.3">
      <c r="A597" s="3">
        <v>591</v>
      </c>
      <c r="B597" s="3" t="str">
        <f>"201600036256"</f>
        <v>201600036256</v>
      </c>
      <c r="C597" s="3">
        <v>120376</v>
      </c>
      <c r="D597" s="3" t="s">
        <v>2517</v>
      </c>
      <c r="E597" s="3">
        <v>10322811662</v>
      </c>
      <c r="F597" s="3" t="s">
        <v>2518</v>
      </c>
      <c r="G597" s="3" t="s">
        <v>2519</v>
      </c>
      <c r="H597" s="3" t="s">
        <v>514</v>
      </c>
      <c r="I597" s="3" t="s">
        <v>532</v>
      </c>
      <c r="J597" s="3" t="s">
        <v>871</v>
      </c>
      <c r="K597" s="3" t="s">
        <v>31</v>
      </c>
      <c r="L597" s="3" t="s">
        <v>598</v>
      </c>
      <c r="M597" s="3"/>
      <c r="N597" s="3"/>
      <c r="O597" s="3"/>
      <c r="P597" s="3"/>
      <c r="Q597" s="3"/>
      <c r="R597" s="3"/>
      <c r="S597" s="3"/>
      <c r="T597" s="3"/>
      <c r="U597" s="3">
        <v>330</v>
      </c>
      <c r="V597" s="4">
        <v>42458</v>
      </c>
      <c r="W597" s="3" t="s">
        <v>33</v>
      </c>
      <c r="X597" s="3" t="s">
        <v>2518</v>
      </c>
    </row>
    <row r="598" spans="1:24" ht="27.95" x14ac:dyDescent="0.3">
      <c r="A598" s="3">
        <v>592</v>
      </c>
      <c r="B598" s="3" t="str">
        <f>"201200000390"</f>
        <v>201200000390</v>
      </c>
      <c r="C598" s="3">
        <v>21022</v>
      </c>
      <c r="D598" s="3" t="s">
        <v>2520</v>
      </c>
      <c r="E598" s="3">
        <v>10016930364</v>
      </c>
      <c r="F598" s="3" t="s">
        <v>2521</v>
      </c>
      <c r="G598" s="3" t="s">
        <v>2522</v>
      </c>
      <c r="H598" s="3" t="s">
        <v>45</v>
      </c>
      <c r="I598" s="3" t="s">
        <v>46</v>
      </c>
      <c r="J598" s="3" t="s">
        <v>1288</v>
      </c>
      <c r="K598" s="3" t="s">
        <v>31</v>
      </c>
      <c r="L598" s="3" t="s">
        <v>826</v>
      </c>
      <c r="M598" s="3" t="s">
        <v>500</v>
      </c>
      <c r="N598" s="3"/>
      <c r="O598" s="3"/>
      <c r="P598" s="3"/>
      <c r="Q598" s="3"/>
      <c r="R598" s="3"/>
      <c r="S598" s="3"/>
      <c r="T598" s="3"/>
      <c r="U598" s="3">
        <v>440</v>
      </c>
      <c r="V598" s="4">
        <v>40917</v>
      </c>
      <c r="W598" s="3" t="s">
        <v>33</v>
      </c>
      <c r="X598" s="3" t="s">
        <v>2521</v>
      </c>
    </row>
    <row r="599" spans="1:24" ht="27.95" x14ac:dyDescent="0.3">
      <c r="A599" s="3">
        <v>593</v>
      </c>
      <c r="B599" s="3" t="str">
        <f>"201600020978"</f>
        <v>201600020978</v>
      </c>
      <c r="C599" s="3">
        <v>20078</v>
      </c>
      <c r="D599" s="3" t="s">
        <v>2523</v>
      </c>
      <c r="E599" s="3">
        <v>10025429872</v>
      </c>
      <c r="F599" s="3" t="s">
        <v>2524</v>
      </c>
      <c r="G599" s="3" t="s">
        <v>2525</v>
      </c>
      <c r="H599" s="3" t="s">
        <v>45</v>
      </c>
      <c r="I599" s="3" t="s">
        <v>448</v>
      </c>
      <c r="J599" s="3" t="s">
        <v>989</v>
      </c>
      <c r="K599" s="3" t="s">
        <v>31</v>
      </c>
      <c r="L599" s="3"/>
      <c r="M599" s="3"/>
      <c r="N599" s="3"/>
      <c r="O599" s="3" t="s">
        <v>182</v>
      </c>
      <c r="P599" s="3" t="s">
        <v>64</v>
      </c>
      <c r="Q599" s="3"/>
      <c r="R599" s="3"/>
      <c r="S599" s="3"/>
      <c r="T599" s="3"/>
      <c r="U599" s="3">
        <v>330</v>
      </c>
      <c r="V599" s="4">
        <v>42417</v>
      </c>
      <c r="W599" s="3" t="s">
        <v>33</v>
      </c>
      <c r="X599" s="3" t="s">
        <v>2525</v>
      </c>
    </row>
    <row r="600" spans="1:24" ht="27.95" x14ac:dyDescent="0.3">
      <c r="A600" s="3">
        <v>594</v>
      </c>
      <c r="B600" s="3" t="str">
        <f>"201700115248"</f>
        <v>201700115248</v>
      </c>
      <c r="C600" s="3">
        <v>128846</v>
      </c>
      <c r="D600" s="3" t="s">
        <v>2526</v>
      </c>
      <c r="E600" s="3">
        <v>10411058960</v>
      </c>
      <c r="F600" s="3" t="s">
        <v>2527</v>
      </c>
      <c r="G600" s="3" t="s">
        <v>2528</v>
      </c>
      <c r="H600" s="3" t="s">
        <v>194</v>
      </c>
      <c r="I600" s="3" t="s">
        <v>813</v>
      </c>
      <c r="J600" s="3" t="s">
        <v>813</v>
      </c>
      <c r="K600" s="3" t="s">
        <v>31</v>
      </c>
      <c r="L600" s="3"/>
      <c r="M600" s="3" t="s">
        <v>806</v>
      </c>
      <c r="N600" s="3"/>
      <c r="O600" s="3"/>
      <c r="P600" s="3"/>
      <c r="Q600" s="3"/>
      <c r="R600" s="3"/>
      <c r="S600" s="3"/>
      <c r="T600" s="3"/>
      <c r="U600" s="3">
        <v>330</v>
      </c>
      <c r="V600" s="4">
        <v>42937</v>
      </c>
      <c r="W600" s="3" t="s">
        <v>33</v>
      </c>
      <c r="X600" s="3" t="s">
        <v>2527</v>
      </c>
    </row>
    <row r="601" spans="1:24" ht="27.95" x14ac:dyDescent="0.3">
      <c r="A601" s="3">
        <v>595</v>
      </c>
      <c r="B601" s="3" t="str">
        <f>"201900156226"</f>
        <v>201900156226</v>
      </c>
      <c r="C601" s="3">
        <v>146765</v>
      </c>
      <c r="D601" s="3" t="s">
        <v>2529</v>
      </c>
      <c r="E601" s="3">
        <v>10272924665</v>
      </c>
      <c r="F601" s="3" t="s">
        <v>2530</v>
      </c>
      <c r="G601" s="3" t="s">
        <v>1066</v>
      </c>
      <c r="H601" s="3" t="s">
        <v>233</v>
      </c>
      <c r="I601" s="3" t="s">
        <v>637</v>
      </c>
      <c r="J601" s="3" t="s">
        <v>1996</v>
      </c>
      <c r="K601" s="3" t="s">
        <v>31</v>
      </c>
      <c r="L601" s="3" t="s">
        <v>87</v>
      </c>
      <c r="M601" s="3" t="s">
        <v>264</v>
      </c>
      <c r="N601" s="3" t="s">
        <v>2531</v>
      </c>
      <c r="O601" s="3"/>
      <c r="P601" s="3"/>
      <c r="Q601" s="3"/>
      <c r="R601" s="3"/>
      <c r="S601" s="3"/>
      <c r="T601" s="3"/>
      <c r="U601" s="3">
        <v>650</v>
      </c>
      <c r="V601" s="4">
        <v>43738</v>
      </c>
      <c r="W601" s="3" t="s">
        <v>33</v>
      </c>
      <c r="X601" s="3" t="s">
        <v>2530</v>
      </c>
    </row>
    <row r="602" spans="1:24" ht="27.95" x14ac:dyDescent="0.3">
      <c r="A602" s="3">
        <v>596</v>
      </c>
      <c r="B602" s="3" t="str">
        <f>"201300047672"</f>
        <v>201300047672</v>
      </c>
      <c r="C602" s="3">
        <v>20052</v>
      </c>
      <c r="D602" s="3" t="s">
        <v>2532</v>
      </c>
      <c r="E602" s="3">
        <v>10800284321</v>
      </c>
      <c r="F602" s="3" t="s">
        <v>2533</v>
      </c>
      <c r="G602" s="3" t="s">
        <v>2534</v>
      </c>
      <c r="H602" s="3" t="s">
        <v>45</v>
      </c>
      <c r="I602" s="3" t="s">
        <v>105</v>
      </c>
      <c r="J602" s="3" t="s">
        <v>106</v>
      </c>
      <c r="K602" s="3" t="s">
        <v>31</v>
      </c>
      <c r="L602" s="3" t="s">
        <v>1296</v>
      </c>
      <c r="M602" s="3" t="s">
        <v>1296</v>
      </c>
      <c r="N602" s="3" t="s">
        <v>1296</v>
      </c>
      <c r="O602" s="3" t="s">
        <v>428</v>
      </c>
      <c r="P602" s="3" t="s">
        <v>428</v>
      </c>
      <c r="Q602" s="3"/>
      <c r="R602" s="3"/>
      <c r="S602" s="3"/>
      <c r="T602" s="3"/>
      <c r="U602" s="3">
        <v>330</v>
      </c>
      <c r="V602" s="4">
        <v>41357</v>
      </c>
      <c r="W602" s="3" t="s">
        <v>33</v>
      </c>
      <c r="X602" s="3" t="s">
        <v>2533</v>
      </c>
    </row>
    <row r="603" spans="1:24" ht="27.95" x14ac:dyDescent="0.3">
      <c r="A603" s="3">
        <v>597</v>
      </c>
      <c r="B603" s="3" t="str">
        <f>"201900155682"</f>
        <v>201900155682</v>
      </c>
      <c r="C603" s="3">
        <v>146737</v>
      </c>
      <c r="D603" s="3" t="s">
        <v>2535</v>
      </c>
      <c r="E603" s="3">
        <v>10211029876</v>
      </c>
      <c r="F603" s="3" t="s">
        <v>2536</v>
      </c>
      <c r="G603" s="3" t="s">
        <v>2537</v>
      </c>
      <c r="H603" s="3" t="s">
        <v>37</v>
      </c>
      <c r="I603" s="3" t="s">
        <v>1542</v>
      </c>
      <c r="J603" s="3" t="s">
        <v>2538</v>
      </c>
      <c r="K603" s="3" t="s">
        <v>31</v>
      </c>
      <c r="L603" s="3" t="s">
        <v>1416</v>
      </c>
      <c r="M603" s="3"/>
      <c r="N603" s="3"/>
      <c r="O603" s="3"/>
      <c r="P603" s="3"/>
      <c r="Q603" s="3"/>
      <c r="R603" s="3"/>
      <c r="S603" s="3"/>
      <c r="T603" s="3"/>
      <c r="U603" s="3">
        <v>330</v>
      </c>
      <c r="V603" s="4">
        <v>43735</v>
      </c>
      <c r="W603" s="3" t="s">
        <v>33</v>
      </c>
      <c r="X603" s="3" t="s">
        <v>2536</v>
      </c>
    </row>
    <row r="604" spans="1:24" ht="27.95" x14ac:dyDescent="0.3">
      <c r="A604" s="3">
        <v>598</v>
      </c>
      <c r="B604" s="3" t="str">
        <f>"201600155619"</f>
        <v>201600155619</v>
      </c>
      <c r="C604" s="3">
        <v>121787</v>
      </c>
      <c r="D604" s="3" t="s">
        <v>2539</v>
      </c>
      <c r="E604" s="3">
        <v>10408132211</v>
      </c>
      <c r="F604" s="3" t="s">
        <v>2540</v>
      </c>
      <c r="G604" s="3" t="s">
        <v>2541</v>
      </c>
      <c r="H604" s="3" t="s">
        <v>514</v>
      </c>
      <c r="I604" s="3" t="s">
        <v>2279</v>
      </c>
      <c r="J604" s="3" t="s">
        <v>2280</v>
      </c>
      <c r="K604" s="3" t="s">
        <v>31</v>
      </c>
      <c r="L604" s="3" t="s">
        <v>41</v>
      </c>
      <c r="M604" s="3" t="s">
        <v>121</v>
      </c>
      <c r="N604" s="3"/>
      <c r="O604" s="3"/>
      <c r="P604" s="3"/>
      <c r="Q604" s="3"/>
      <c r="R604" s="3"/>
      <c r="S604" s="3"/>
      <c r="T604" s="3"/>
      <c r="U604" s="3">
        <v>330</v>
      </c>
      <c r="V604" s="4">
        <v>42675</v>
      </c>
      <c r="W604" s="3" t="s">
        <v>33</v>
      </c>
      <c r="X604" s="3" t="s">
        <v>2540</v>
      </c>
    </row>
    <row r="605" spans="1:24" ht="27.95" x14ac:dyDescent="0.3">
      <c r="A605" s="3">
        <v>599</v>
      </c>
      <c r="B605" s="3" t="str">
        <f>"201900138674"</f>
        <v>201900138674</v>
      </c>
      <c r="C605" s="3">
        <v>146168</v>
      </c>
      <c r="D605" s="3" t="s">
        <v>2542</v>
      </c>
      <c r="E605" s="3">
        <v>10405959122</v>
      </c>
      <c r="F605" s="3" t="s">
        <v>2543</v>
      </c>
      <c r="G605" s="3" t="s">
        <v>2544</v>
      </c>
      <c r="H605" s="3" t="s">
        <v>28</v>
      </c>
      <c r="I605" s="3" t="s">
        <v>55</v>
      </c>
      <c r="J605" s="3" t="s">
        <v>134</v>
      </c>
      <c r="K605" s="3" t="s">
        <v>31</v>
      </c>
      <c r="L605" s="3" t="s">
        <v>57</v>
      </c>
      <c r="M605" s="3"/>
      <c r="N605" s="3"/>
      <c r="O605" s="3"/>
      <c r="P605" s="3"/>
      <c r="Q605" s="3"/>
      <c r="R605" s="3"/>
      <c r="S605" s="3"/>
      <c r="T605" s="3"/>
      <c r="U605" s="3">
        <v>715</v>
      </c>
      <c r="V605" s="4">
        <v>43704</v>
      </c>
      <c r="W605" s="3" t="s">
        <v>33</v>
      </c>
      <c r="X605" s="3" t="s">
        <v>2543</v>
      </c>
    </row>
    <row r="606" spans="1:24" ht="27.95" x14ac:dyDescent="0.3">
      <c r="A606" s="3">
        <v>600</v>
      </c>
      <c r="B606" s="3" t="str">
        <f>"201900182914"</f>
        <v>201900182914</v>
      </c>
      <c r="C606" s="3">
        <v>147618</v>
      </c>
      <c r="D606" s="3" t="s">
        <v>2545</v>
      </c>
      <c r="E606" s="3">
        <v>10001906076</v>
      </c>
      <c r="F606" s="3" t="s">
        <v>2546</v>
      </c>
      <c r="G606" s="3" t="s">
        <v>2547</v>
      </c>
      <c r="H606" s="3" t="s">
        <v>92</v>
      </c>
      <c r="I606" s="3" t="s">
        <v>2338</v>
      </c>
      <c r="J606" s="3" t="s">
        <v>2338</v>
      </c>
      <c r="K606" s="3" t="s">
        <v>31</v>
      </c>
      <c r="L606" s="3" t="s">
        <v>115</v>
      </c>
      <c r="M606" s="3"/>
      <c r="N606" s="3"/>
      <c r="O606" s="3"/>
      <c r="P606" s="3"/>
      <c r="Q606" s="3"/>
      <c r="R606" s="3"/>
      <c r="S606" s="3"/>
      <c r="T606" s="3"/>
      <c r="U606" s="3">
        <v>715</v>
      </c>
      <c r="V606" s="4">
        <v>43787</v>
      </c>
      <c r="W606" s="3" t="s">
        <v>33</v>
      </c>
      <c r="X606" s="3" t="s">
        <v>2546</v>
      </c>
    </row>
    <row r="607" spans="1:24" ht="27.95" x14ac:dyDescent="0.3">
      <c r="A607" s="3">
        <v>601</v>
      </c>
      <c r="B607" s="3" t="str">
        <f>"201300020159"</f>
        <v>201300020159</v>
      </c>
      <c r="C607" s="3">
        <v>21502</v>
      </c>
      <c r="D607" s="3" t="s">
        <v>2548</v>
      </c>
      <c r="E607" s="3">
        <v>10166714775</v>
      </c>
      <c r="F607" s="3" t="s">
        <v>2549</v>
      </c>
      <c r="G607" s="3" t="s">
        <v>2550</v>
      </c>
      <c r="H607" s="3" t="s">
        <v>225</v>
      </c>
      <c r="I607" s="3" t="s">
        <v>866</v>
      </c>
      <c r="J607" s="3" t="s">
        <v>2504</v>
      </c>
      <c r="K607" s="3" t="s">
        <v>31</v>
      </c>
      <c r="L607" s="3" t="s">
        <v>820</v>
      </c>
      <c r="M607" s="3"/>
      <c r="N607" s="3"/>
      <c r="O607" s="3"/>
      <c r="P607" s="3"/>
      <c r="Q607" s="3"/>
      <c r="R607" s="3"/>
      <c r="S607" s="3"/>
      <c r="T607" s="3"/>
      <c r="U607" s="3">
        <v>330</v>
      </c>
      <c r="V607" s="4">
        <v>41293</v>
      </c>
      <c r="W607" s="3" t="s">
        <v>33</v>
      </c>
      <c r="X607" s="3" t="s">
        <v>2549</v>
      </c>
    </row>
    <row r="608" spans="1:24" ht="27.95" x14ac:dyDescent="0.3">
      <c r="A608" s="3">
        <v>602</v>
      </c>
      <c r="B608" s="3" t="str">
        <f>"201900207869"</f>
        <v>201900207869</v>
      </c>
      <c r="C608" s="3">
        <v>148320</v>
      </c>
      <c r="D608" s="3" t="s">
        <v>2551</v>
      </c>
      <c r="E608" s="3">
        <v>10422881536</v>
      </c>
      <c r="F608" s="3" t="s">
        <v>2552</v>
      </c>
      <c r="G608" s="3" t="s">
        <v>2553</v>
      </c>
      <c r="H608" s="3" t="s">
        <v>45</v>
      </c>
      <c r="I608" s="3" t="s">
        <v>45</v>
      </c>
      <c r="J608" s="3" t="s">
        <v>524</v>
      </c>
      <c r="K608" s="3" t="s">
        <v>31</v>
      </c>
      <c r="L608" s="3" t="s">
        <v>826</v>
      </c>
      <c r="M608" s="3" t="s">
        <v>236</v>
      </c>
      <c r="N608" s="3"/>
      <c r="O608" s="3"/>
      <c r="P608" s="3"/>
      <c r="Q608" s="3"/>
      <c r="R608" s="3"/>
      <c r="S608" s="3"/>
      <c r="T608" s="3"/>
      <c r="U608" s="3">
        <v>715</v>
      </c>
      <c r="V608" s="4">
        <v>43813</v>
      </c>
      <c r="W608" s="3" t="s">
        <v>33</v>
      </c>
      <c r="X608" s="3" t="s">
        <v>2552</v>
      </c>
    </row>
    <row r="609" spans="1:24" ht="27.95" x14ac:dyDescent="0.3">
      <c r="A609" s="3">
        <v>603</v>
      </c>
      <c r="B609" s="3" t="str">
        <f>"201700171761"</f>
        <v>201700171761</v>
      </c>
      <c r="C609" s="3">
        <v>115914</v>
      </c>
      <c r="D609" s="3" t="s">
        <v>2554</v>
      </c>
      <c r="E609" s="3">
        <v>10401955394</v>
      </c>
      <c r="F609" s="3" t="s">
        <v>2555</v>
      </c>
      <c r="G609" s="3" t="s">
        <v>2556</v>
      </c>
      <c r="H609" s="3" t="s">
        <v>28</v>
      </c>
      <c r="I609" s="3" t="s">
        <v>203</v>
      </c>
      <c r="J609" s="3" t="s">
        <v>510</v>
      </c>
      <c r="K609" s="3" t="s">
        <v>31</v>
      </c>
      <c r="L609" s="3" t="s">
        <v>64</v>
      </c>
      <c r="M609" s="3" t="s">
        <v>182</v>
      </c>
      <c r="N609" s="3"/>
      <c r="O609" s="3"/>
      <c r="P609" s="3"/>
      <c r="Q609" s="3"/>
      <c r="R609" s="3"/>
      <c r="S609" s="3"/>
      <c r="T609" s="3"/>
      <c r="U609" s="3">
        <v>330</v>
      </c>
      <c r="V609" s="4">
        <v>43025</v>
      </c>
      <c r="W609" s="3" t="s">
        <v>33</v>
      </c>
      <c r="X609" s="3" t="s">
        <v>2555</v>
      </c>
    </row>
    <row r="610" spans="1:24" ht="27.95" x14ac:dyDescent="0.3">
      <c r="A610" s="3">
        <v>604</v>
      </c>
      <c r="B610" s="3" t="str">
        <f>"202000097395"</f>
        <v>202000097395</v>
      </c>
      <c r="C610" s="3">
        <v>123971</v>
      </c>
      <c r="D610" s="3" t="s">
        <v>2557</v>
      </c>
      <c r="E610" s="3">
        <v>10436896561</v>
      </c>
      <c r="F610" s="3" t="s">
        <v>2558</v>
      </c>
      <c r="G610" s="3" t="s">
        <v>2559</v>
      </c>
      <c r="H610" s="3" t="s">
        <v>61</v>
      </c>
      <c r="I610" s="3" t="s">
        <v>2560</v>
      </c>
      <c r="J610" s="3" t="s">
        <v>2560</v>
      </c>
      <c r="K610" s="3" t="s">
        <v>31</v>
      </c>
      <c r="L610" s="3" t="s">
        <v>41</v>
      </c>
      <c r="M610" s="3" t="s">
        <v>65</v>
      </c>
      <c r="N610" s="3"/>
      <c r="O610" s="3"/>
      <c r="P610" s="3"/>
      <c r="Q610" s="3"/>
      <c r="R610" s="3"/>
      <c r="S610" s="3"/>
      <c r="T610" s="3"/>
      <c r="U610" s="3">
        <v>330</v>
      </c>
      <c r="V610" s="4">
        <v>44050</v>
      </c>
      <c r="W610" s="3" t="s">
        <v>33</v>
      </c>
      <c r="X610" s="3" t="s">
        <v>2558</v>
      </c>
    </row>
    <row r="611" spans="1:24" ht="27.95" x14ac:dyDescent="0.3">
      <c r="A611" s="3">
        <v>605</v>
      </c>
      <c r="B611" s="3" t="str">
        <f>"1297042"</f>
        <v>1297042</v>
      </c>
      <c r="C611" s="3">
        <v>20036</v>
      </c>
      <c r="D611" s="3" t="s">
        <v>2561</v>
      </c>
      <c r="E611" s="3">
        <v>10024190078</v>
      </c>
      <c r="F611" s="3" t="s">
        <v>2562</v>
      </c>
      <c r="G611" s="3" t="s">
        <v>2563</v>
      </c>
      <c r="H611" s="3" t="s">
        <v>45</v>
      </c>
      <c r="I611" s="3" t="s">
        <v>46</v>
      </c>
      <c r="J611" s="3" t="s">
        <v>2564</v>
      </c>
      <c r="K611" s="3" t="s">
        <v>31</v>
      </c>
      <c r="L611" s="3" t="s">
        <v>48</v>
      </c>
      <c r="M611" s="3" t="s">
        <v>50</v>
      </c>
      <c r="N611" s="3" t="s">
        <v>49</v>
      </c>
      <c r="O611" s="3"/>
      <c r="P611" s="3"/>
      <c r="Q611" s="3"/>
      <c r="R611" s="3"/>
      <c r="S611" s="3"/>
      <c r="T611" s="3"/>
      <c r="U611" s="3">
        <v>440</v>
      </c>
      <c r="V611" s="4">
        <v>36747</v>
      </c>
      <c r="W611" s="3" t="s">
        <v>33</v>
      </c>
      <c r="X611" s="3" t="s">
        <v>2565</v>
      </c>
    </row>
    <row r="612" spans="1:24" ht="27.95" x14ac:dyDescent="0.3">
      <c r="A612" s="3">
        <v>606</v>
      </c>
      <c r="B612" s="3" t="str">
        <f>"202000001495"</f>
        <v>202000001495</v>
      </c>
      <c r="C612" s="3">
        <v>40167</v>
      </c>
      <c r="D612" s="3" t="s">
        <v>2566</v>
      </c>
      <c r="E612" s="3">
        <v>20493504143</v>
      </c>
      <c r="F612" s="3" t="s">
        <v>2567</v>
      </c>
      <c r="G612" s="3" t="s">
        <v>2568</v>
      </c>
      <c r="H612" s="3" t="s">
        <v>84</v>
      </c>
      <c r="I612" s="3" t="s">
        <v>308</v>
      </c>
      <c r="J612" s="3" t="s">
        <v>309</v>
      </c>
      <c r="K612" s="3" t="s">
        <v>31</v>
      </c>
      <c r="L612" s="3" t="s">
        <v>1466</v>
      </c>
      <c r="M612" s="3"/>
      <c r="N612" s="3"/>
      <c r="O612" s="3"/>
      <c r="P612" s="3"/>
      <c r="Q612" s="3"/>
      <c r="R612" s="3"/>
      <c r="S612" s="3"/>
      <c r="T612" s="3"/>
      <c r="U612" s="3">
        <v>715</v>
      </c>
      <c r="V612" s="4">
        <v>43842</v>
      </c>
      <c r="W612" s="3" t="s">
        <v>33</v>
      </c>
      <c r="X612" s="3" t="s">
        <v>2569</v>
      </c>
    </row>
    <row r="613" spans="1:24" ht="27.95" x14ac:dyDescent="0.3">
      <c r="A613" s="3">
        <v>607</v>
      </c>
      <c r="B613" s="3" t="str">
        <f>"201700152778"</f>
        <v>201700152778</v>
      </c>
      <c r="C613" s="3">
        <v>40854</v>
      </c>
      <c r="D613" s="3" t="s">
        <v>2570</v>
      </c>
      <c r="E613" s="3">
        <v>10405049398</v>
      </c>
      <c r="F613" s="3" t="s">
        <v>2571</v>
      </c>
      <c r="G613" s="3" t="s">
        <v>2572</v>
      </c>
      <c r="H613" s="3" t="s">
        <v>84</v>
      </c>
      <c r="I613" s="3" t="s">
        <v>85</v>
      </c>
      <c r="J613" s="3" t="s">
        <v>422</v>
      </c>
      <c r="K613" s="3" t="s">
        <v>31</v>
      </c>
      <c r="L613" s="3" t="s">
        <v>87</v>
      </c>
      <c r="M613" s="3" t="s">
        <v>41</v>
      </c>
      <c r="N613" s="3"/>
      <c r="O613" s="3"/>
      <c r="P613" s="3"/>
      <c r="Q613" s="3"/>
      <c r="R613" s="3"/>
      <c r="S613" s="3"/>
      <c r="T613" s="3"/>
      <c r="U613" s="3">
        <v>330</v>
      </c>
      <c r="V613" s="4">
        <v>43004</v>
      </c>
      <c r="W613" s="3" t="s">
        <v>33</v>
      </c>
      <c r="X613" s="3" t="s">
        <v>2571</v>
      </c>
    </row>
    <row r="614" spans="1:24" ht="27.95" x14ac:dyDescent="0.3">
      <c r="A614" s="3">
        <v>608</v>
      </c>
      <c r="B614" s="3" t="str">
        <f>"1396896"</f>
        <v>1396896</v>
      </c>
      <c r="C614" s="3">
        <v>34041</v>
      </c>
      <c r="D614" s="3" t="s">
        <v>2573</v>
      </c>
      <c r="E614" s="3">
        <v>20409026355</v>
      </c>
      <c r="F614" s="3" t="s">
        <v>2574</v>
      </c>
      <c r="G614" s="3" t="s">
        <v>2575</v>
      </c>
      <c r="H614" s="3" t="s">
        <v>84</v>
      </c>
      <c r="I614" s="3" t="s">
        <v>308</v>
      </c>
      <c r="J614" s="3" t="s">
        <v>1035</v>
      </c>
      <c r="K614" s="3" t="s">
        <v>31</v>
      </c>
      <c r="L614" s="3"/>
      <c r="M614" s="3" t="s">
        <v>548</v>
      </c>
      <c r="N614" s="3" t="s">
        <v>108</v>
      </c>
      <c r="O614" s="3"/>
      <c r="P614" s="3"/>
      <c r="Q614" s="3"/>
      <c r="R614" s="3"/>
      <c r="S614" s="3"/>
      <c r="T614" s="3"/>
      <c r="U614" s="3">
        <v>342</v>
      </c>
      <c r="V614" s="4">
        <v>37613</v>
      </c>
      <c r="W614" s="3" t="s">
        <v>33</v>
      </c>
      <c r="X614" s="3" t="s">
        <v>2576</v>
      </c>
    </row>
    <row r="615" spans="1:24" ht="27.95" x14ac:dyDescent="0.3">
      <c r="A615" s="3">
        <v>609</v>
      </c>
      <c r="B615" s="3" t="str">
        <f>"201500029779"</f>
        <v>201500029779</v>
      </c>
      <c r="C615" s="3">
        <v>111911</v>
      </c>
      <c r="D615" s="3" t="s">
        <v>2577</v>
      </c>
      <c r="E615" s="3">
        <v>20567209874</v>
      </c>
      <c r="F615" s="3" t="s">
        <v>2578</v>
      </c>
      <c r="G615" s="3" t="s">
        <v>2579</v>
      </c>
      <c r="H615" s="3" t="s">
        <v>84</v>
      </c>
      <c r="I615" s="3" t="s">
        <v>308</v>
      </c>
      <c r="J615" s="3" t="s">
        <v>309</v>
      </c>
      <c r="K615" s="3" t="s">
        <v>31</v>
      </c>
      <c r="L615" s="3"/>
      <c r="M615" s="3"/>
      <c r="N615" s="3"/>
      <c r="O615" s="3"/>
      <c r="P615" s="3"/>
      <c r="Q615" s="3"/>
      <c r="R615" s="3"/>
      <c r="S615" s="3"/>
      <c r="T615" s="3"/>
      <c r="U615" s="3">
        <v>330</v>
      </c>
      <c r="V615" s="4">
        <v>42091</v>
      </c>
      <c r="W615" s="3" t="s">
        <v>33</v>
      </c>
      <c r="X615" s="3" t="s">
        <v>2580</v>
      </c>
    </row>
    <row r="616" spans="1:24" ht="27.95" x14ac:dyDescent="0.3">
      <c r="A616" s="3">
        <v>610</v>
      </c>
      <c r="B616" s="3" t="str">
        <f>"201600031386"</f>
        <v>201600031386</v>
      </c>
      <c r="C616" s="3">
        <v>120224</v>
      </c>
      <c r="D616" s="3" t="s">
        <v>2581</v>
      </c>
      <c r="E616" s="3">
        <v>10231455642</v>
      </c>
      <c r="F616" s="3" t="s">
        <v>2582</v>
      </c>
      <c r="G616" s="3" t="s">
        <v>2583</v>
      </c>
      <c r="H616" s="3" t="s">
        <v>73</v>
      </c>
      <c r="I616" s="3" t="s">
        <v>416</v>
      </c>
      <c r="J616" s="3" t="s">
        <v>417</v>
      </c>
      <c r="K616" s="3" t="s">
        <v>31</v>
      </c>
      <c r="L616" s="3" t="s">
        <v>40</v>
      </c>
      <c r="M616" s="3" t="s">
        <v>41</v>
      </c>
      <c r="N616" s="3" t="s">
        <v>39</v>
      </c>
      <c r="O616" s="3"/>
      <c r="P616" s="3"/>
      <c r="Q616" s="3"/>
      <c r="R616" s="3"/>
      <c r="S616" s="3"/>
      <c r="T616" s="3"/>
      <c r="U616" s="3">
        <v>330</v>
      </c>
      <c r="V616" s="4">
        <v>42493</v>
      </c>
      <c r="W616" s="3" t="s">
        <v>33</v>
      </c>
      <c r="X616" s="3" t="s">
        <v>2582</v>
      </c>
    </row>
    <row r="617" spans="1:24" ht="27.95" x14ac:dyDescent="0.3">
      <c r="A617" s="3">
        <v>611</v>
      </c>
      <c r="B617" s="3" t="str">
        <f>"201800121519"</f>
        <v>201800121519</v>
      </c>
      <c r="C617" s="3">
        <v>137642</v>
      </c>
      <c r="D617" s="3" t="s">
        <v>2584</v>
      </c>
      <c r="E617" s="3">
        <v>10227537014</v>
      </c>
      <c r="F617" s="3" t="s">
        <v>2585</v>
      </c>
      <c r="G617" s="3" t="s">
        <v>2586</v>
      </c>
      <c r="H617" s="3" t="s">
        <v>73</v>
      </c>
      <c r="I617" s="3" t="s">
        <v>2144</v>
      </c>
      <c r="J617" s="3" t="s">
        <v>2587</v>
      </c>
      <c r="K617" s="3" t="s">
        <v>31</v>
      </c>
      <c r="L617" s="3" t="s">
        <v>65</v>
      </c>
      <c r="M617" s="3" t="s">
        <v>574</v>
      </c>
      <c r="N617" s="3" t="s">
        <v>485</v>
      </c>
      <c r="O617" s="3"/>
      <c r="P617" s="3"/>
      <c r="Q617" s="3"/>
      <c r="R617" s="3"/>
      <c r="S617" s="3"/>
      <c r="T617" s="3"/>
      <c r="U617" s="3">
        <v>440</v>
      </c>
      <c r="V617" s="4">
        <v>43308</v>
      </c>
      <c r="W617" s="3" t="s">
        <v>33</v>
      </c>
      <c r="X617" s="3" t="s">
        <v>2585</v>
      </c>
    </row>
    <row r="618" spans="1:24" ht="27.95" x14ac:dyDescent="0.3">
      <c r="A618" s="3">
        <v>612</v>
      </c>
      <c r="B618" s="3" t="str">
        <f>"201800200394"</f>
        <v>201800200394</v>
      </c>
      <c r="C618" s="3">
        <v>140126</v>
      </c>
      <c r="D618" s="3" t="s">
        <v>2588</v>
      </c>
      <c r="E618" s="3">
        <v>10016843615</v>
      </c>
      <c r="F618" s="3" t="s">
        <v>2589</v>
      </c>
      <c r="G618" s="3" t="s">
        <v>2590</v>
      </c>
      <c r="H618" s="3" t="s">
        <v>45</v>
      </c>
      <c r="I618" s="3" t="s">
        <v>119</v>
      </c>
      <c r="J618" s="3" t="s">
        <v>1454</v>
      </c>
      <c r="K618" s="3" t="s">
        <v>31</v>
      </c>
      <c r="L618" s="3" t="s">
        <v>340</v>
      </c>
      <c r="M618" s="3"/>
      <c r="N618" s="3"/>
      <c r="O618" s="3"/>
      <c r="P618" s="3"/>
      <c r="Q618" s="3"/>
      <c r="R618" s="3"/>
      <c r="S618" s="3"/>
      <c r="T618" s="3"/>
      <c r="U618" s="3">
        <v>715</v>
      </c>
      <c r="V618" s="4">
        <v>43438</v>
      </c>
      <c r="W618" s="3" t="s">
        <v>33</v>
      </c>
      <c r="X618" s="3" t="s">
        <v>2589</v>
      </c>
    </row>
    <row r="619" spans="1:24" ht="27.95" x14ac:dyDescent="0.3">
      <c r="A619" s="3">
        <v>613</v>
      </c>
      <c r="B619" s="3" t="str">
        <f>"202000141765"</f>
        <v>202000141765</v>
      </c>
      <c r="C619" s="3">
        <v>144341</v>
      </c>
      <c r="D619" s="3" t="s">
        <v>2591</v>
      </c>
      <c r="E619" s="3">
        <v>20600339363</v>
      </c>
      <c r="F619" s="3" t="s">
        <v>2592</v>
      </c>
      <c r="G619" s="3" t="s">
        <v>2593</v>
      </c>
      <c r="H619" s="3" t="s">
        <v>28</v>
      </c>
      <c r="I619" s="3" t="s">
        <v>55</v>
      </c>
      <c r="J619" s="3" t="s">
        <v>56</v>
      </c>
      <c r="K619" s="3" t="s">
        <v>31</v>
      </c>
      <c r="L619" s="3" t="s">
        <v>32</v>
      </c>
      <c r="M619" s="3"/>
      <c r="N619" s="3"/>
      <c r="O619" s="3"/>
      <c r="P619" s="3"/>
      <c r="Q619" s="3"/>
      <c r="R619" s="3"/>
      <c r="S619" s="3"/>
      <c r="T619" s="3"/>
      <c r="U619" s="3">
        <v>715</v>
      </c>
      <c r="V619" s="4">
        <v>44116</v>
      </c>
      <c r="W619" s="3" t="s">
        <v>33</v>
      </c>
      <c r="X619" s="3" t="s">
        <v>2594</v>
      </c>
    </row>
    <row r="620" spans="1:24" ht="27.95" x14ac:dyDescent="0.3">
      <c r="A620" s="3">
        <v>614</v>
      </c>
      <c r="B620" s="3" t="str">
        <f>"201800089199"</f>
        <v>201800089199</v>
      </c>
      <c r="C620" s="3">
        <v>136505</v>
      </c>
      <c r="D620" s="3" t="s">
        <v>2595</v>
      </c>
      <c r="E620" s="3">
        <v>10247820880</v>
      </c>
      <c r="F620" s="3" t="s">
        <v>2596</v>
      </c>
      <c r="G620" s="3" t="s">
        <v>2597</v>
      </c>
      <c r="H620" s="3" t="s">
        <v>28</v>
      </c>
      <c r="I620" s="3" t="s">
        <v>55</v>
      </c>
      <c r="J620" s="3" t="s">
        <v>56</v>
      </c>
      <c r="K620" s="3" t="s">
        <v>31</v>
      </c>
      <c r="L620" s="3" t="s">
        <v>57</v>
      </c>
      <c r="M620" s="3"/>
      <c r="N620" s="3"/>
      <c r="O620" s="3"/>
      <c r="P620" s="3"/>
      <c r="Q620" s="3"/>
      <c r="R620" s="3"/>
      <c r="S620" s="3"/>
      <c r="T620" s="3"/>
      <c r="U620" s="3">
        <v>715</v>
      </c>
      <c r="V620" s="4">
        <v>43252</v>
      </c>
      <c r="W620" s="3" t="s">
        <v>33</v>
      </c>
      <c r="X620" s="3" t="s">
        <v>2596</v>
      </c>
    </row>
    <row r="621" spans="1:24" ht="27.95" x14ac:dyDescent="0.3">
      <c r="A621" s="3">
        <v>615</v>
      </c>
      <c r="B621" s="3" t="str">
        <f>"201800188823"</f>
        <v>201800188823</v>
      </c>
      <c r="C621" s="3">
        <v>139646</v>
      </c>
      <c r="D621" s="3" t="s">
        <v>2598</v>
      </c>
      <c r="E621" s="3">
        <v>10431210181</v>
      </c>
      <c r="F621" s="3" t="s">
        <v>2599</v>
      </c>
      <c r="G621" s="3" t="s">
        <v>2600</v>
      </c>
      <c r="H621" s="3" t="s">
        <v>225</v>
      </c>
      <c r="I621" s="3" t="s">
        <v>866</v>
      </c>
      <c r="J621" s="3" t="s">
        <v>1669</v>
      </c>
      <c r="K621" s="3" t="s">
        <v>31</v>
      </c>
      <c r="L621" s="3" t="s">
        <v>50</v>
      </c>
      <c r="M621" s="3" t="s">
        <v>237</v>
      </c>
      <c r="N621" s="3" t="s">
        <v>95</v>
      </c>
      <c r="O621" s="3"/>
      <c r="P621" s="3"/>
      <c r="Q621" s="3"/>
      <c r="R621" s="3"/>
      <c r="S621" s="3"/>
      <c r="T621" s="3"/>
      <c r="U621" s="3">
        <v>715</v>
      </c>
      <c r="V621" s="4">
        <v>43423</v>
      </c>
      <c r="W621" s="3" t="s">
        <v>33</v>
      </c>
      <c r="X621" s="3" t="s">
        <v>2599</v>
      </c>
    </row>
    <row r="622" spans="1:24" ht="27.95" x14ac:dyDescent="0.3">
      <c r="A622" s="3">
        <v>616</v>
      </c>
      <c r="B622" s="3" t="str">
        <f>"1833036"</f>
        <v>1833036</v>
      </c>
      <c r="C622" s="3">
        <v>43065</v>
      </c>
      <c r="D622" s="3" t="s">
        <v>2601</v>
      </c>
      <c r="E622" s="3">
        <v>10055957474</v>
      </c>
      <c r="F622" s="3" t="s">
        <v>2602</v>
      </c>
      <c r="G622" s="3" t="s">
        <v>2603</v>
      </c>
      <c r="H622" s="3" t="s">
        <v>84</v>
      </c>
      <c r="I622" s="3" t="s">
        <v>85</v>
      </c>
      <c r="J622" s="3" t="s">
        <v>157</v>
      </c>
      <c r="K622" s="3" t="s">
        <v>31</v>
      </c>
      <c r="L622" s="3" t="s">
        <v>158</v>
      </c>
      <c r="M622" s="3" t="s">
        <v>269</v>
      </c>
      <c r="N622" s="3" t="s">
        <v>48</v>
      </c>
      <c r="O622" s="3"/>
      <c r="P622" s="3"/>
      <c r="Q622" s="3"/>
      <c r="R622" s="3"/>
      <c r="S622" s="3"/>
      <c r="T622" s="3"/>
      <c r="U622" s="3">
        <v>741</v>
      </c>
      <c r="V622" s="4">
        <v>39731</v>
      </c>
      <c r="W622" s="3" t="s">
        <v>33</v>
      </c>
      <c r="X622" s="3" t="s">
        <v>2604</v>
      </c>
    </row>
    <row r="623" spans="1:24" ht="27.95" x14ac:dyDescent="0.3">
      <c r="A623" s="3">
        <v>617</v>
      </c>
      <c r="B623" s="3" t="str">
        <f>"1512804"</f>
        <v>1512804</v>
      </c>
      <c r="C623" s="3">
        <v>93138</v>
      </c>
      <c r="D623" s="3" t="s">
        <v>2605</v>
      </c>
      <c r="E623" s="3">
        <v>10196682398</v>
      </c>
      <c r="F623" s="3" t="s">
        <v>2606</v>
      </c>
      <c r="G623" s="3" t="s">
        <v>2607</v>
      </c>
      <c r="H623" s="3" t="s">
        <v>498</v>
      </c>
      <c r="I623" s="3" t="s">
        <v>972</v>
      </c>
      <c r="J623" s="3" t="s">
        <v>972</v>
      </c>
      <c r="K623" s="3" t="s">
        <v>31</v>
      </c>
      <c r="L623" s="3" t="s">
        <v>2608</v>
      </c>
      <c r="M623" s="3" t="s">
        <v>2608</v>
      </c>
      <c r="N623" s="3" t="s">
        <v>2609</v>
      </c>
      <c r="O623" s="3" t="s">
        <v>324</v>
      </c>
      <c r="P623" s="3" t="s">
        <v>324</v>
      </c>
      <c r="Q623" s="3" t="s">
        <v>324</v>
      </c>
      <c r="R623" s="3" t="s">
        <v>324</v>
      </c>
      <c r="S623" s="3" t="s">
        <v>324</v>
      </c>
      <c r="T623" s="3" t="s">
        <v>324</v>
      </c>
      <c r="U623" s="3">
        <v>741</v>
      </c>
      <c r="V623" s="4">
        <v>40886</v>
      </c>
      <c r="W623" s="3" t="s">
        <v>33</v>
      </c>
      <c r="X623" s="3" t="s">
        <v>2606</v>
      </c>
    </row>
    <row r="624" spans="1:24" ht="27.95" x14ac:dyDescent="0.3">
      <c r="A624" s="3">
        <v>618</v>
      </c>
      <c r="B624" s="3" t="str">
        <f>"201800002033"</f>
        <v>201800002033</v>
      </c>
      <c r="C624" s="3">
        <v>133899</v>
      </c>
      <c r="D624" s="3" t="s">
        <v>2610</v>
      </c>
      <c r="E624" s="3">
        <v>10323027132</v>
      </c>
      <c r="F624" s="3" t="s">
        <v>2611</v>
      </c>
      <c r="G624" s="3" t="s">
        <v>2612</v>
      </c>
      <c r="H624" s="3" t="s">
        <v>514</v>
      </c>
      <c r="I624" s="3" t="s">
        <v>532</v>
      </c>
      <c r="J624" s="3" t="s">
        <v>871</v>
      </c>
      <c r="K624" s="3" t="s">
        <v>31</v>
      </c>
      <c r="L624" s="3" t="s">
        <v>485</v>
      </c>
      <c r="M624" s="3" t="s">
        <v>40</v>
      </c>
      <c r="N624" s="3"/>
      <c r="O624" s="3"/>
      <c r="P624" s="3"/>
      <c r="Q624" s="3"/>
      <c r="R624" s="3"/>
      <c r="S624" s="3"/>
      <c r="T624" s="3"/>
      <c r="U624" s="3">
        <v>330</v>
      </c>
      <c r="V624" s="4">
        <v>43107</v>
      </c>
      <c r="W624" s="3" t="s">
        <v>33</v>
      </c>
      <c r="X624" s="3" t="s">
        <v>2611</v>
      </c>
    </row>
    <row r="625" spans="1:24" ht="27.95" x14ac:dyDescent="0.3">
      <c r="A625" s="3">
        <v>619</v>
      </c>
      <c r="B625" s="3" t="str">
        <f>"201300158157"</f>
        <v>201300158157</v>
      </c>
      <c r="C625" s="3">
        <v>105692</v>
      </c>
      <c r="D625" s="3" t="s">
        <v>2613</v>
      </c>
      <c r="E625" s="3">
        <v>20570555376</v>
      </c>
      <c r="F625" s="3" t="s">
        <v>2614</v>
      </c>
      <c r="G625" s="3" t="s">
        <v>2615</v>
      </c>
      <c r="H625" s="3" t="s">
        <v>194</v>
      </c>
      <c r="I625" s="3" t="s">
        <v>2288</v>
      </c>
      <c r="J625" s="3" t="s">
        <v>2289</v>
      </c>
      <c r="K625" s="3" t="s">
        <v>31</v>
      </c>
      <c r="L625" s="3"/>
      <c r="M625" s="3" t="s">
        <v>1841</v>
      </c>
      <c r="N625" s="3"/>
      <c r="O625" s="3"/>
      <c r="P625" s="3"/>
      <c r="Q625" s="3"/>
      <c r="R625" s="3"/>
      <c r="S625" s="3"/>
      <c r="T625" s="3"/>
      <c r="U625" s="3">
        <v>330</v>
      </c>
      <c r="V625" s="4">
        <v>41568</v>
      </c>
      <c r="W625" s="3" t="s">
        <v>33</v>
      </c>
      <c r="X625" s="3" t="s">
        <v>2616</v>
      </c>
    </row>
  </sheetData>
  <mergeCells count="1">
    <mergeCell ref="A2:X2"/>
  </mergeCells>
  <pageMargins left="0.75" right="0.75" top="1" bottom="1" header="0.5" footer="0.5"/>
  <pageSetup orientation="portrait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GrifosRuralesconalmacenamientoe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</dc:title>
  <dc:creator>Jose Manuel Castañeda Rossel</dc:creator>
  <cp:lastModifiedBy>Jose Manuel Castañeda Rossel</cp:lastModifiedBy>
  <dcterms:created xsi:type="dcterms:W3CDTF">2020-10-29T22:08:32Z</dcterms:created>
  <dcterms:modified xsi:type="dcterms:W3CDTF">2020-10-29T22:08:32Z</dcterms:modified>
</cp:coreProperties>
</file>